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730" windowHeight="11760"/>
  </bookViews>
  <sheets>
    <sheet name="Документ" sheetId="2" r:id="rId1"/>
  </sheets>
  <definedNames>
    <definedName name="_xlnm.Print_Titles" localSheetId="0">Документ!$8:$8</definedName>
  </definedNames>
  <calcPr calcId="124519" fullCalcOnLoad="1" refMode="R1C1"/>
</workbook>
</file>

<file path=xl/calcChain.xml><?xml version="1.0" encoding="utf-8"?>
<calcChain xmlns="http://schemas.openxmlformats.org/spreadsheetml/2006/main">
  <c r="N86" i="2"/>
  <c r="N46"/>
  <c r="N44"/>
  <c r="N168"/>
  <c r="N167"/>
  <c r="N248"/>
  <c r="N239"/>
  <c r="N235"/>
  <c r="N131"/>
  <c r="N90"/>
  <c r="N210"/>
  <c r="N214"/>
  <c r="N176"/>
  <c r="N77"/>
  <c r="N51"/>
  <c r="N42"/>
  <c r="N147"/>
  <c r="N148"/>
  <c r="N223"/>
  <c r="N222"/>
  <c r="N220"/>
  <c r="N219"/>
  <c r="O242"/>
  <c r="P242"/>
  <c r="Q242"/>
  <c r="R242"/>
  <c r="S242"/>
  <c r="T242"/>
  <c r="U242"/>
  <c r="V242"/>
  <c r="N242"/>
  <c r="N13"/>
  <c r="N285"/>
  <c r="N286"/>
  <c r="N271"/>
  <c r="N202"/>
  <c r="N156"/>
  <c r="N155"/>
  <c r="N157"/>
  <c r="N139"/>
  <c r="N105"/>
  <c r="N104"/>
  <c r="N111"/>
  <c r="N85"/>
  <c r="N79"/>
  <c r="U219"/>
  <c r="N205"/>
  <c r="N53"/>
  <c r="N280"/>
  <c r="N279" s="1"/>
  <c r="N278" s="1"/>
  <c r="N277" s="1"/>
  <c r="N257"/>
  <c r="U218"/>
  <c r="U217"/>
  <c r="N204"/>
  <c r="N203" s="1"/>
  <c r="N175"/>
  <c r="N174" s="1"/>
  <c r="N171"/>
  <c r="N170"/>
  <c r="N169" s="1"/>
  <c r="U155"/>
  <c r="U154" s="1"/>
  <c r="U153" s="1"/>
  <c r="U148"/>
  <c r="U147"/>
  <c r="U146" s="1"/>
  <c r="U145" s="1"/>
  <c r="N146"/>
  <c r="N118"/>
  <c r="N82"/>
  <c r="N81"/>
  <c r="N78"/>
  <c r="N45"/>
  <c r="N99"/>
  <c r="N98"/>
  <c r="N97"/>
  <c r="N39"/>
  <c r="N37"/>
  <c r="N251"/>
  <c r="O218"/>
  <c r="O217" s="1"/>
  <c r="P218"/>
  <c r="P217" s="1"/>
  <c r="Q218"/>
  <c r="Q217" s="1"/>
  <c r="R218"/>
  <c r="R217" s="1"/>
  <c r="S218"/>
  <c r="S217" s="1"/>
  <c r="T218"/>
  <c r="T217" s="1"/>
  <c r="V218"/>
  <c r="V217" s="1"/>
  <c r="O204"/>
  <c r="O203" s="1"/>
  <c r="P204"/>
  <c r="P203" s="1"/>
  <c r="Q204"/>
  <c r="Q203" s="1"/>
  <c r="R204"/>
  <c r="R203" s="1"/>
  <c r="S204"/>
  <c r="S203" s="1"/>
  <c r="T204"/>
  <c r="T203" s="1"/>
  <c r="U204"/>
  <c r="U203" s="1"/>
  <c r="V204"/>
  <c r="V203" s="1"/>
  <c r="N201"/>
  <c r="N200" s="1"/>
  <c r="N199" s="1"/>
  <c r="N57"/>
  <c r="N56"/>
  <c r="N50"/>
  <c r="N48"/>
  <c r="N43"/>
  <c r="N41" s="1"/>
  <c r="N213"/>
  <c r="N211" s="1"/>
  <c r="O273"/>
  <c r="P273"/>
  <c r="Q273"/>
  <c r="R273"/>
  <c r="S273"/>
  <c r="T273"/>
  <c r="U273"/>
  <c r="V273"/>
  <c r="N273"/>
  <c r="N69"/>
  <c r="N68" s="1"/>
  <c r="N74"/>
  <c r="N73"/>
  <c r="N72" s="1"/>
  <c r="N256"/>
  <c r="N221"/>
  <c r="N166"/>
  <c r="N165" s="1"/>
  <c r="N164" s="1"/>
  <c r="N36"/>
  <c r="N40"/>
  <c r="O200"/>
  <c r="O199"/>
  <c r="P200"/>
  <c r="P199"/>
  <c r="Q200"/>
  <c r="Q199"/>
  <c r="Q198" s="1"/>
  <c r="R200"/>
  <c r="R199" s="1"/>
  <c r="R198" s="1"/>
  <c r="S200"/>
  <c r="S199" s="1"/>
  <c r="S198" s="1"/>
  <c r="T200"/>
  <c r="T199" s="1"/>
  <c r="T198" s="1"/>
  <c r="U200"/>
  <c r="U199" s="1"/>
  <c r="U198" s="1"/>
  <c r="V200"/>
  <c r="V199" s="1"/>
  <c r="V198" s="1"/>
  <c r="N187"/>
  <c r="N186" s="1"/>
  <c r="O154"/>
  <c r="P154"/>
  <c r="P153" s="1"/>
  <c r="Q154"/>
  <c r="Q153" s="1"/>
  <c r="R154"/>
  <c r="R153" s="1"/>
  <c r="S154"/>
  <c r="S153" s="1"/>
  <c r="T154"/>
  <c r="T153" s="1"/>
  <c r="T145" s="1"/>
  <c r="V154"/>
  <c r="V153" s="1"/>
  <c r="N103"/>
  <c r="O162"/>
  <c r="O161"/>
  <c r="P162"/>
  <c r="P161"/>
  <c r="Q162"/>
  <c r="Q161"/>
  <c r="R162"/>
  <c r="R161"/>
  <c r="S162"/>
  <c r="S161"/>
  <c r="T162"/>
  <c r="T161"/>
  <c r="U162"/>
  <c r="U161"/>
  <c r="V162"/>
  <c r="V161"/>
  <c r="N162"/>
  <c r="N161"/>
  <c r="O281"/>
  <c r="P281"/>
  <c r="Q281"/>
  <c r="R281"/>
  <c r="S281"/>
  <c r="T281"/>
  <c r="U281"/>
  <c r="V281"/>
  <c r="N281"/>
  <c r="N270"/>
  <c r="N269" s="1"/>
  <c r="O262"/>
  <c r="P262"/>
  <c r="Q262"/>
  <c r="R262"/>
  <c r="S262"/>
  <c r="T262"/>
  <c r="U262"/>
  <c r="V262"/>
  <c r="N262"/>
  <c r="N229"/>
  <c r="N228" s="1"/>
  <c r="N227" s="1"/>
  <c r="N182"/>
  <c r="N181"/>
  <c r="N180" s="1"/>
  <c r="V148"/>
  <c r="V147" s="1"/>
  <c r="V146" s="1"/>
  <c r="V145" s="1"/>
  <c r="N197"/>
  <c r="N196"/>
  <c r="N194"/>
  <c r="N192"/>
  <c r="N193"/>
  <c r="N191"/>
  <c r="N190"/>
  <c r="N189" s="1"/>
  <c r="G302"/>
  <c r="G301" s="1"/>
  <c r="G300" s="1"/>
  <c r="N234"/>
  <c r="N233" s="1"/>
  <c r="N138"/>
  <c r="N137"/>
  <c r="N136" s="1"/>
  <c r="N114"/>
  <c r="N113" s="1"/>
  <c r="N112" s="1"/>
  <c r="O238"/>
  <c r="P238"/>
  <c r="Q238"/>
  <c r="R238"/>
  <c r="S238"/>
  <c r="T238"/>
  <c r="U238"/>
  <c r="V238"/>
  <c r="N238"/>
  <c r="N237" s="1"/>
  <c r="N241"/>
  <c r="N240" s="1"/>
  <c r="N185"/>
  <c r="N184" s="1"/>
  <c r="N183" s="1"/>
  <c r="V225"/>
  <c r="V224"/>
  <c r="O225"/>
  <c r="O224"/>
  <c r="P225"/>
  <c r="P224"/>
  <c r="Q225"/>
  <c r="Q224"/>
  <c r="R225"/>
  <c r="R224"/>
  <c r="S225"/>
  <c r="S224"/>
  <c r="T225"/>
  <c r="T224"/>
  <c r="U225"/>
  <c r="U224"/>
  <c r="N225"/>
  <c r="N224"/>
  <c r="O113"/>
  <c r="O112"/>
  <c r="P113"/>
  <c r="P112"/>
  <c r="Q113"/>
  <c r="Q112"/>
  <c r="R113"/>
  <c r="R112"/>
  <c r="S113"/>
  <c r="S112"/>
  <c r="T113"/>
  <c r="T112"/>
  <c r="U113"/>
  <c r="U112"/>
  <c r="V113"/>
  <c r="V112"/>
  <c r="O147"/>
  <c r="O146"/>
  <c r="P147"/>
  <c r="P146"/>
  <c r="Q147"/>
  <c r="Q146"/>
  <c r="R147"/>
  <c r="R146"/>
  <c r="S147"/>
  <c r="S146"/>
  <c r="T147"/>
  <c r="T146"/>
  <c r="O251"/>
  <c r="O250"/>
  <c r="O249" s="1"/>
  <c r="O244" s="1"/>
  <c r="P251"/>
  <c r="P250"/>
  <c r="P249" s="1"/>
  <c r="P244" s="1"/>
  <c r="Q251"/>
  <c r="Q250"/>
  <c r="Q249" s="1"/>
  <c r="Q244" s="1"/>
  <c r="R251"/>
  <c r="R250"/>
  <c r="R249" s="1"/>
  <c r="R244" s="1"/>
  <c r="S251"/>
  <c r="S250"/>
  <c r="S249" s="1"/>
  <c r="S244" s="1"/>
  <c r="T251"/>
  <c r="T250"/>
  <c r="T249" s="1"/>
  <c r="T244" s="1"/>
  <c r="U251"/>
  <c r="U250"/>
  <c r="U249" s="1"/>
  <c r="U244" s="1"/>
  <c r="V251"/>
  <c r="V250"/>
  <c r="V249" s="1"/>
  <c r="V244" s="1"/>
  <c r="N250"/>
  <c r="N249"/>
  <c r="O192"/>
  <c r="P192"/>
  <c r="Q192"/>
  <c r="R192"/>
  <c r="S192"/>
  <c r="T192"/>
  <c r="U192"/>
  <c r="V192"/>
  <c r="O189"/>
  <c r="P189"/>
  <c r="Q189"/>
  <c r="R189"/>
  <c r="S189"/>
  <c r="T189"/>
  <c r="U189"/>
  <c r="V189"/>
  <c r="N160"/>
  <c r="N159" s="1"/>
  <c r="N158" s="1"/>
  <c r="V143"/>
  <c r="V142"/>
  <c r="V141" s="1"/>
  <c r="V140" s="1"/>
  <c r="U143"/>
  <c r="U142"/>
  <c r="U141" s="1"/>
  <c r="U140" s="1"/>
  <c r="N143"/>
  <c r="O130"/>
  <c r="O129" s="1"/>
  <c r="P130"/>
  <c r="P129" s="1"/>
  <c r="Q130"/>
  <c r="Q129" s="1"/>
  <c r="R130"/>
  <c r="R129" s="1"/>
  <c r="S130"/>
  <c r="S129" s="1"/>
  <c r="T130"/>
  <c r="T129" s="1"/>
  <c r="U130"/>
  <c r="U129" s="1"/>
  <c r="V130"/>
  <c r="V129" s="1"/>
  <c r="O126"/>
  <c r="O125" s="1"/>
  <c r="P126"/>
  <c r="P125" s="1"/>
  <c r="Q126"/>
  <c r="Q125" s="1"/>
  <c r="R126"/>
  <c r="R125" s="1"/>
  <c r="S126"/>
  <c r="S125" s="1"/>
  <c r="T126"/>
  <c r="T125" s="1"/>
  <c r="U126"/>
  <c r="U125" s="1"/>
  <c r="V126"/>
  <c r="V125" s="1"/>
  <c r="N126"/>
  <c r="N125" s="1"/>
  <c r="V121"/>
  <c r="V119" s="1"/>
  <c r="V117" s="1"/>
  <c r="V116" s="1"/>
  <c r="V115" s="1"/>
  <c r="U121"/>
  <c r="U119"/>
  <c r="U117" s="1"/>
  <c r="U116" s="1"/>
  <c r="U115" s="1"/>
  <c r="N121"/>
  <c r="N119" s="1"/>
  <c r="N117" s="1"/>
  <c r="N116" s="1"/>
  <c r="N115" s="1"/>
  <c r="N110"/>
  <c r="O106"/>
  <c r="P106"/>
  <c r="Q106"/>
  <c r="R106"/>
  <c r="S106"/>
  <c r="T106"/>
  <c r="U106"/>
  <c r="V106"/>
  <c r="V45"/>
  <c r="V43"/>
  <c r="V41" s="1"/>
  <c r="V33" s="1"/>
  <c r="U45"/>
  <c r="U43" s="1"/>
  <c r="U41" s="1"/>
  <c r="U33" s="1"/>
  <c r="V35"/>
  <c r="V34"/>
  <c r="N284"/>
  <c r="N283"/>
  <c r="N106"/>
  <c r="N80"/>
  <c r="O35"/>
  <c r="O34" s="1"/>
  <c r="O33" s="1"/>
  <c r="P35"/>
  <c r="P34" s="1"/>
  <c r="P33" s="1"/>
  <c r="Q35"/>
  <c r="Q34" s="1"/>
  <c r="Q33" s="1"/>
  <c r="R35"/>
  <c r="R34" s="1"/>
  <c r="S35"/>
  <c r="S34"/>
  <c r="T35"/>
  <c r="T34"/>
  <c r="U35"/>
  <c r="U34"/>
  <c r="N260"/>
  <c r="N231"/>
  <c r="N230" s="1"/>
  <c r="O228"/>
  <c r="O227" s="1"/>
  <c r="P228"/>
  <c r="P227" s="1"/>
  <c r="Q228"/>
  <c r="Q227" s="1"/>
  <c r="R228"/>
  <c r="R227" s="1"/>
  <c r="S228"/>
  <c r="S227" s="1"/>
  <c r="T228"/>
  <c r="T227" s="1"/>
  <c r="U228"/>
  <c r="U227" s="1"/>
  <c r="V228"/>
  <c r="V227" s="1"/>
  <c r="O258"/>
  <c r="P258"/>
  <c r="Q258"/>
  <c r="R258"/>
  <c r="S258"/>
  <c r="T258"/>
  <c r="U258"/>
  <c r="V258"/>
  <c r="N258"/>
  <c r="N208"/>
  <c r="N207"/>
  <c r="N206" s="1"/>
  <c r="N130"/>
  <c r="N129" s="1"/>
  <c r="N84"/>
  <c r="N83" s="1"/>
  <c r="G307"/>
  <c r="U240"/>
  <c r="N275"/>
  <c r="N272" s="1"/>
  <c r="N14"/>
  <c r="O56"/>
  <c r="P56"/>
  <c r="Q56"/>
  <c r="R56"/>
  <c r="S56"/>
  <c r="T56"/>
  <c r="V84"/>
  <c r="V83"/>
  <c r="U84"/>
  <c r="U83"/>
  <c r="O31"/>
  <c r="O30"/>
  <c r="P31"/>
  <c r="P30"/>
  <c r="Q31"/>
  <c r="Q30"/>
  <c r="R31"/>
  <c r="R30"/>
  <c r="S31"/>
  <c r="S30"/>
  <c r="T31"/>
  <c r="T30"/>
  <c r="U31"/>
  <c r="U30"/>
  <c r="V31"/>
  <c r="V30"/>
  <c r="O73"/>
  <c r="O72"/>
  <c r="P73"/>
  <c r="P72"/>
  <c r="Q73"/>
  <c r="Q72"/>
  <c r="R73"/>
  <c r="R72"/>
  <c r="S73"/>
  <c r="S72"/>
  <c r="T73"/>
  <c r="T72"/>
  <c r="U73"/>
  <c r="U72"/>
  <c r="V73"/>
  <c r="V72"/>
  <c r="O285"/>
  <c r="O284"/>
  <c r="O283" s="1"/>
  <c r="O277" s="1"/>
  <c r="P285"/>
  <c r="P284" s="1"/>
  <c r="P283" s="1"/>
  <c r="Q285"/>
  <c r="Q284"/>
  <c r="Q283" s="1"/>
  <c r="R285"/>
  <c r="R284" s="1"/>
  <c r="R283" s="1"/>
  <c r="R277" s="1"/>
  <c r="S285"/>
  <c r="S284"/>
  <c r="S283" s="1"/>
  <c r="S277" s="1"/>
  <c r="T285"/>
  <c r="T284" s="1"/>
  <c r="T283" s="1"/>
  <c r="U285"/>
  <c r="U284"/>
  <c r="U283" s="1"/>
  <c r="V285"/>
  <c r="V284" s="1"/>
  <c r="V283" s="1"/>
  <c r="V277" s="1"/>
  <c r="N264"/>
  <c r="N255" s="1"/>
  <c r="N254" s="1"/>
  <c r="N266"/>
  <c r="O270"/>
  <c r="O269"/>
  <c r="O268" s="1"/>
  <c r="P270"/>
  <c r="P269" s="1"/>
  <c r="P268" s="1"/>
  <c r="Q270"/>
  <c r="Q269" s="1"/>
  <c r="Q268" s="1"/>
  <c r="R270"/>
  <c r="R269"/>
  <c r="R268" s="1"/>
  <c r="S270"/>
  <c r="S269" s="1"/>
  <c r="S268" s="1"/>
  <c r="T270"/>
  <c r="T269"/>
  <c r="T268" s="1"/>
  <c r="U270"/>
  <c r="U269" s="1"/>
  <c r="U268" s="1"/>
  <c r="V270"/>
  <c r="V269"/>
  <c r="V268" s="1"/>
  <c r="O256"/>
  <c r="P256"/>
  <c r="Q256"/>
  <c r="R256"/>
  <c r="S256"/>
  <c r="T256"/>
  <c r="U256"/>
  <c r="V256"/>
  <c r="O240"/>
  <c r="P240"/>
  <c r="P237"/>
  <c r="P236" s="1"/>
  <c r="Q240"/>
  <c r="R240"/>
  <c r="S240"/>
  <c r="T240"/>
  <c r="T237"/>
  <c r="T236" s="1"/>
  <c r="V240"/>
  <c r="N247"/>
  <c r="N246"/>
  <c r="N245" s="1"/>
  <c r="N244" s="1"/>
  <c r="O211"/>
  <c r="O210" s="1"/>
  <c r="P211"/>
  <c r="P210" s="1"/>
  <c r="P209" s="1"/>
  <c r="Q211"/>
  <c r="Q210" s="1"/>
  <c r="Q209" s="1"/>
  <c r="R211"/>
  <c r="R210" s="1"/>
  <c r="R209" s="1"/>
  <c r="S211"/>
  <c r="S210"/>
  <c r="T211"/>
  <c r="T210"/>
  <c r="V211"/>
  <c r="V210"/>
  <c r="O207"/>
  <c r="O206"/>
  <c r="P207"/>
  <c r="P206"/>
  <c r="Q207"/>
  <c r="Q206"/>
  <c r="R207"/>
  <c r="R206"/>
  <c r="S207"/>
  <c r="S206"/>
  <c r="T207"/>
  <c r="T206"/>
  <c r="U207"/>
  <c r="U206"/>
  <c r="V207"/>
  <c r="V206"/>
  <c r="O184"/>
  <c r="O183"/>
  <c r="P184"/>
  <c r="P183"/>
  <c r="Q184"/>
  <c r="Q183"/>
  <c r="R184"/>
  <c r="R183"/>
  <c r="S184"/>
  <c r="S183"/>
  <c r="T184"/>
  <c r="T183"/>
  <c r="U184"/>
  <c r="U183"/>
  <c r="V184"/>
  <c r="V183"/>
  <c r="O178"/>
  <c r="O177"/>
  <c r="P178"/>
  <c r="P177"/>
  <c r="Q178"/>
  <c r="Q177"/>
  <c r="R178"/>
  <c r="R177"/>
  <c r="S178"/>
  <c r="S177"/>
  <c r="T178"/>
  <c r="T177"/>
  <c r="U178"/>
  <c r="U177"/>
  <c r="V178"/>
  <c r="V177"/>
  <c r="O166"/>
  <c r="O165"/>
  <c r="P166"/>
  <c r="P165"/>
  <c r="Q166"/>
  <c r="Q165"/>
  <c r="R166"/>
  <c r="R165"/>
  <c r="S166"/>
  <c r="S165"/>
  <c r="T166"/>
  <c r="T165"/>
  <c r="T164" s="1"/>
  <c r="U166"/>
  <c r="U165"/>
  <c r="V166"/>
  <c r="V165"/>
  <c r="N144"/>
  <c r="O133"/>
  <c r="O132" s="1"/>
  <c r="P133"/>
  <c r="P132" s="1"/>
  <c r="Q133"/>
  <c r="Q132" s="1"/>
  <c r="R133"/>
  <c r="R132" s="1"/>
  <c r="S133"/>
  <c r="S132" s="1"/>
  <c r="T133"/>
  <c r="T132" s="1"/>
  <c r="U133"/>
  <c r="U132" s="1"/>
  <c r="V133"/>
  <c r="V132" s="1"/>
  <c r="N133"/>
  <c r="N132" s="1"/>
  <c r="O119"/>
  <c r="O117" s="1"/>
  <c r="P119"/>
  <c r="P117" s="1"/>
  <c r="Q119"/>
  <c r="Q117" s="1"/>
  <c r="R119"/>
  <c r="R117" s="1"/>
  <c r="S119"/>
  <c r="S117" s="1"/>
  <c r="T119"/>
  <c r="T117" s="1"/>
  <c r="O108"/>
  <c r="P108"/>
  <c r="Q108"/>
  <c r="R108"/>
  <c r="S108"/>
  <c r="T108"/>
  <c r="U108"/>
  <c r="V108"/>
  <c r="N108"/>
  <c r="O102"/>
  <c r="O101"/>
  <c r="P102"/>
  <c r="P101"/>
  <c r="Q102"/>
  <c r="Q101"/>
  <c r="R102"/>
  <c r="R101"/>
  <c r="S102"/>
  <c r="S101"/>
  <c r="T102"/>
  <c r="T101"/>
  <c r="U102"/>
  <c r="U101"/>
  <c r="V102"/>
  <c r="V101"/>
  <c r="O84"/>
  <c r="O83"/>
  <c r="P84"/>
  <c r="P83"/>
  <c r="Q84"/>
  <c r="Q83"/>
  <c r="R84"/>
  <c r="R83"/>
  <c r="S84"/>
  <c r="S83"/>
  <c r="T84"/>
  <c r="T83"/>
  <c r="O76"/>
  <c r="O75"/>
  <c r="P76"/>
  <c r="P75"/>
  <c r="Q76"/>
  <c r="Q75"/>
  <c r="R76"/>
  <c r="R75"/>
  <c r="S76"/>
  <c r="S75"/>
  <c r="T76"/>
  <c r="T75"/>
  <c r="U76"/>
  <c r="U75"/>
  <c r="V76"/>
  <c r="V75"/>
  <c r="N178"/>
  <c r="N177"/>
  <c r="N31"/>
  <c r="N30" s="1"/>
  <c r="N24"/>
  <c r="N23"/>
  <c r="N26"/>
  <c r="U231"/>
  <c r="U230" s="1"/>
  <c r="O170"/>
  <c r="O169" s="1"/>
  <c r="O164" s="1"/>
  <c r="P170"/>
  <c r="P169" s="1"/>
  <c r="P164" s="1"/>
  <c r="Q170"/>
  <c r="Q169" s="1"/>
  <c r="Q164" s="1"/>
  <c r="R170"/>
  <c r="R169" s="1"/>
  <c r="R164" s="1"/>
  <c r="S170"/>
  <c r="S169"/>
  <c r="T170"/>
  <c r="T169"/>
  <c r="U170"/>
  <c r="U169" s="1"/>
  <c r="U164" s="1"/>
  <c r="V170"/>
  <c r="V169" s="1"/>
  <c r="V164" s="1"/>
  <c r="O81"/>
  <c r="O80" s="1"/>
  <c r="O71" s="1"/>
  <c r="P81"/>
  <c r="P80" s="1"/>
  <c r="P71" s="1"/>
  <c r="Q81"/>
  <c r="Q80" s="1"/>
  <c r="R81"/>
  <c r="R80" s="1"/>
  <c r="S81"/>
  <c r="S80" s="1"/>
  <c r="T81"/>
  <c r="T80" s="1"/>
  <c r="T71" s="1"/>
  <c r="U81"/>
  <c r="U80" s="1"/>
  <c r="U71" s="1"/>
  <c r="V81"/>
  <c r="V80" s="1"/>
  <c r="V71" s="1"/>
  <c r="V181"/>
  <c r="V180" s="1"/>
  <c r="O181"/>
  <c r="O180" s="1"/>
  <c r="P181"/>
  <c r="P180" s="1"/>
  <c r="Q181"/>
  <c r="Q180"/>
  <c r="R181"/>
  <c r="R180"/>
  <c r="S181"/>
  <c r="S180"/>
  <c r="T181"/>
  <c r="T180"/>
  <c r="U181"/>
  <c r="U180"/>
  <c r="V89"/>
  <c r="V88"/>
  <c r="O89"/>
  <c r="O88"/>
  <c r="P89"/>
  <c r="P88"/>
  <c r="Q89"/>
  <c r="Q88"/>
  <c r="R89"/>
  <c r="R88"/>
  <c r="S89"/>
  <c r="S88"/>
  <c r="T89"/>
  <c r="T88"/>
  <c r="U89"/>
  <c r="U88"/>
  <c r="N89"/>
  <c r="N88" s="1"/>
  <c r="O151"/>
  <c r="O150"/>
  <c r="P151"/>
  <c r="P150"/>
  <c r="P145" s="1"/>
  <c r="Q151"/>
  <c r="Q150" s="1"/>
  <c r="Q145" s="1"/>
  <c r="R151"/>
  <c r="R150" s="1"/>
  <c r="R145" s="1"/>
  <c r="S151"/>
  <c r="S150" s="1"/>
  <c r="S145" s="1"/>
  <c r="T151"/>
  <c r="T150"/>
  <c r="V151"/>
  <c r="V150"/>
  <c r="U151"/>
  <c r="U150"/>
  <c r="N151"/>
  <c r="N150" s="1"/>
  <c r="M298"/>
  <c r="N297" s="1"/>
  <c r="N296" s="1"/>
  <c r="U302"/>
  <c r="U301"/>
  <c r="U300" s="1"/>
  <c r="N302"/>
  <c r="N301" s="1"/>
  <c r="N300" s="1"/>
  <c r="U298"/>
  <c r="U297"/>
  <c r="U296" s="1"/>
  <c r="I298"/>
  <c r="K298"/>
  <c r="O298"/>
  <c r="Q298"/>
  <c r="S298"/>
  <c r="G298"/>
  <c r="G297" s="1"/>
  <c r="G296" s="1"/>
  <c r="O231"/>
  <c r="O230" s="1"/>
  <c r="P231"/>
  <c r="P230"/>
  <c r="Q231"/>
  <c r="Q230"/>
  <c r="R231"/>
  <c r="R230"/>
  <c r="S231"/>
  <c r="S230"/>
  <c r="T231"/>
  <c r="T230"/>
  <c r="V231"/>
  <c r="V230"/>
  <c r="O159"/>
  <c r="O158"/>
  <c r="P159"/>
  <c r="P158"/>
  <c r="Q159"/>
  <c r="Q158"/>
  <c r="R159"/>
  <c r="R158"/>
  <c r="S159"/>
  <c r="S158"/>
  <c r="T159"/>
  <c r="T158"/>
  <c r="U159"/>
  <c r="U158"/>
  <c r="V159"/>
  <c r="V158"/>
  <c r="O142"/>
  <c r="O141"/>
  <c r="O140" s="1"/>
  <c r="O135" s="1"/>
  <c r="P142"/>
  <c r="P141" s="1"/>
  <c r="P140" s="1"/>
  <c r="P135" s="1"/>
  <c r="Q142"/>
  <c r="Q141"/>
  <c r="Q140" s="1"/>
  <c r="R142"/>
  <c r="R141" s="1"/>
  <c r="R140" s="1"/>
  <c r="R135" s="1"/>
  <c r="S142"/>
  <c r="S141"/>
  <c r="S140" s="1"/>
  <c r="S135" s="1"/>
  <c r="T142"/>
  <c r="T141" s="1"/>
  <c r="T140" s="1"/>
  <c r="T135" s="1"/>
  <c r="O279"/>
  <c r="P279"/>
  <c r="P278" s="1"/>
  <c r="P277" s="1"/>
  <c r="Q279"/>
  <c r="Q278" s="1"/>
  <c r="Q277" s="1"/>
  <c r="R279"/>
  <c r="S279"/>
  <c r="S278"/>
  <c r="T279"/>
  <c r="T278"/>
  <c r="T277" s="1"/>
  <c r="U279"/>
  <c r="U278" s="1"/>
  <c r="U277" s="1"/>
  <c r="V279"/>
  <c r="V278"/>
  <c r="O266"/>
  <c r="P266"/>
  <c r="Q266"/>
  <c r="R266"/>
  <c r="S266"/>
  <c r="T266"/>
  <c r="U266"/>
  <c r="V266"/>
  <c r="O264"/>
  <c r="P264"/>
  <c r="Q264"/>
  <c r="R264"/>
  <c r="S264"/>
  <c r="T264"/>
  <c r="U264"/>
  <c r="V264"/>
  <c r="O260"/>
  <c r="O255"/>
  <c r="O254" s="1"/>
  <c r="P260"/>
  <c r="Q260"/>
  <c r="R260"/>
  <c r="S260"/>
  <c r="T260"/>
  <c r="T255" s="1"/>
  <c r="T254" s="1"/>
  <c r="U260"/>
  <c r="V260"/>
  <c r="V255" s="1"/>
  <c r="V254" s="1"/>
  <c r="O175"/>
  <c r="O174"/>
  <c r="O173" s="1"/>
  <c r="P175"/>
  <c r="P174" s="1"/>
  <c r="P173" s="1"/>
  <c r="P172" s="1"/>
  <c r="Q175"/>
  <c r="Q174" s="1"/>
  <c r="Q173" s="1"/>
  <c r="Q172" s="1"/>
  <c r="R175"/>
  <c r="R174"/>
  <c r="S175"/>
  <c r="S174"/>
  <c r="T175"/>
  <c r="T174"/>
  <c r="U175"/>
  <c r="U174"/>
  <c r="V175"/>
  <c r="V174"/>
  <c r="V173" s="1"/>
  <c r="O153"/>
  <c r="O115"/>
  <c r="P115"/>
  <c r="Q115"/>
  <c r="R115"/>
  <c r="S115"/>
  <c r="T115"/>
  <c r="O95"/>
  <c r="O94"/>
  <c r="P95"/>
  <c r="P94"/>
  <c r="Q95"/>
  <c r="Q94"/>
  <c r="Q71" s="1"/>
  <c r="R95"/>
  <c r="R94" s="1"/>
  <c r="R71" s="1"/>
  <c r="S95"/>
  <c r="S94" s="1"/>
  <c r="S71" s="1"/>
  <c r="T95"/>
  <c r="T94"/>
  <c r="U95"/>
  <c r="U94"/>
  <c r="V95"/>
  <c r="V94"/>
  <c r="O43"/>
  <c r="O41"/>
  <c r="P43"/>
  <c r="P41"/>
  <c r="Q43"/>
  <c r="Q41"/>
  <c r="R43"/>
  <c r="R41" s="1"/>
  <c r="S43"/>
  <c r="S41" s="1"/>
  <c r="S33" s="1"/>
  <c r="S29" s="1"/>
  <c r="T43"/>
  <c r="T41" s="1"/>
  <c r="T33" s="1"/>
  <c r="T29" s="1"/>
  <c r="O21"/>
  <c r="O20" s="1"/>
  <c r="O19" s="1"/>
  <c r="P21"/>
  <c r="P20"/>
  <c r="P19" s="1"/>
  <c r="Q21"/>
  <c r="Q20" s="1"/>
  <c r="Q19" s="1"/>
  <c r="R21"/>
  <c r="R20"/>
  <c r="R19" s="1"/>
  <c r="S21"/>
  <c r="S20" s="1"/>
  <c r="S19" s="1"/>
  <c r="T21"/>
  <c r="T20"/>
  <c r="T19" s="1"/>
  <c r="U21"/>
  <c r="U20" s="1"/>
  <c r="U19" s="1"/>
  <c r="V21"/>
  <c r="V20"/>
  <c r="V19" s="1"/>
  <c r="N21"/>
  <c r="N20" s="1"/>
  <c r="O14"/>
  <c r="O12"/>
  <c r="O11" s="1"/>
  <c r="O10" s="1"/>
  <c r="O9" s="1"/>
  <c r="P14"/>
  <c r="P12" s="1"/>
  <c r="P11" s="1"/>
  <c r="Q14"/>
  <c r="Q12"/>
  <c r="Q11" s="1"/>
  <c r="Q10" s="1"/>
  <c r="Q9" s="1"/>
  <c r="R14"/>
  <c r="R12" s="1"/>
  <c r="R11" s="1"/>
  <c r="R10" s="1"/>
  <c r="R9" s="1"/>
  <c r="S14"/>
  <c r="S12"/>
  <c r="S11" s="1"/>
  <c r="S10" s="1"/>
  <c r="S9" s="1"/>
  <c r="T14"/>
  <c r="T12" s="1"/>
  <c r="T11" s="1"/>
  <c r="T10" s="1"/>
  <c r="T9" s="1"/>
  <c r="U14"/>
  <c r="U12"/>
  <c r="U11" s="1"/>
  <c r="U10" s="1"/>
  <c r="U9" s="1"/>
  <c r="V14"/>
  <c r="V12" s="1"/>
  <c r="V11" s="1"/>
  <c r="V10" s="1"/>
  <c r="V9" s="1"/>
  <c r="U211"/>
  <c r="U210"/>
  <c r="U209" s="1"/>
  <c r="Q237"/>
  <c r="Q236"/>
  <c r="U237"/>
  <c r="U236"/>
  <c r="R237"/>
  <c r="R236"/>
  <c r="N102"/>
  <c r="N101"/>
  <c r="N12"/>
  <c r="N11" s="1"/>
  <c r="R278"/>
  <c r="P255"/>
  <c r="P254"/>
  <c r="N142"/>
  <c r="N141"/>
  <c r="N140" s="1"/>
  <c r="O237"/>
  <c r="O236" s="1"/>
  <c r="V237"/>
  <c r="V236"/>
  <c r="N35"/>
  <c r="N34"/>
  <c r="N154"/>
  <c r="N153"/>
  <c r="S237"/>
  <c r="S236" s="1"/>
  <c r="R255"/>
  <c r="R254" s="1"/>
  <c r="N195"/>
  <c r="N218"/>
  <c r="N217" s="1"/>
  <c r="S164"/>
  <c r="U173"/>
  <c r="U172" s="1"/>
  <c r="R173"/>
  <c r="R172" s="1"/>
  <c r="T173"/>
  <c r="O145"/>
  <c r="S255"/>
  <c r="S254"/>
  <c r="U255"/>
  <c r="U254"/>
  <c r="Q255"/>
  <c r="Q254"/>
  <c r="P198"/>
  <c r="N95"/>
  <c r="N94"/>
  <c r="N76"/>
  <c r="N75" s="1"/>
  <c r="O278"/>
  <c r="S173"/>
  <c r="O198"/>
  <c r="N19" l="1"/>
  <c r="N33"/>
  <c r="N236"/>
  <c r="O209"/>
  <c r="Q29"/>
  <c r="O29"/>
  <c r="V29"/>
  <c r="V124"/>
  <c r="V123" s="1"/>
  <c r="T124"/>
  <c r="T123" s="1"/>
  <c r="R124"/>
  <c r="R123" s="1"/>
  <c r="P124"/>
  <c r="P123" s="1"/>
  <c r="N268"/>
  <c r="N71"/>
  <c r="N209"/>
  <c r="N198"/>
  <c r="T209"/>
  <c r="T172" s="1"/>
  <c r="T28" s="1"/>
  <c r="T287" s="1"/>
  <c r="P10"/>
  <c r="P9" s="1"/>
  <c r="O172"/>
  <c r="Q135"/>
  <c r="N124"/>
  <c r="N123" s="1"/>
  <c r="R33"/>
  <c r="R29" s="1"/>
  <c r="R28" s="1"/>
  <c r="R287" s="1"/>
  <c r="P29"/>
  <c r="P28" s="1"/>
  <c r="U29"/>
  <c r="U28" s="1"/>
  <c r="U287" s="1"/>
  <c r="U124"/>
  <c r="U123" s="1"/>
  <c r="S124"/>
  <c r="S123" s="1"/>
  <c r="Q124"/>
  <c r="Q123" s="1"/>
  <c r="O124"/>
  <c r="O123" s="1"/>
  <c r="U135"/>
  <c r="V135"/>
  <c r="V209"/>
  <c r="V172" s="1"/>
  <c r="S209"/>
  <c r="S172" s="1"/>
  <c r="N145"/>
  <c r="N135" s="1"/>
  <c r="N173"/>
  <c r="N10"/>
  <c r="N9" s="1"/>
  <c r="N172" l="1"/>
  <c r="N29"/>
  <c r="S28"/>
  <c r="S287" s="1"/>
  <c r="O28"/>
  <c r="O287" s="1"/>
  <c r="P287"/>
  <c r="V28"/>
  <c r="V287" s="1"/>
  <c r="Q28"/>
  <c r="Q287" s="1"/>
  <c r="N28" l="1"/>
  <c r="N287" s="1"/>
</calcChain>
</file>

<file path=xl/sharedStrings.xml><?xml version="1.0" encoding="utf-8"?>
<sst xmlns="http://schemas.openxmlformats.org/spreadsheetml/2006/main" count="1924" uniqueCount="309">
  <si>
    <t/>
  </si>
  <si>
    <t>Сумма на 2022 год</t>
  </si>
  <si>
    <t xml:space="preserve">  Совет Наволокского городского поселения Кинешемского муниципального района</t>
  </si>
  <si>
    <t>921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</si>
  <si>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</si>
  <si>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</si>
  <si>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</si>
  <si>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</si>
  <si>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</si>
  <si>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</si>
  <si>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</si>
  <si>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</si>
  <si>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</si>
  <si>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2090000060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</si>
  <si>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</si>
  <si>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</si>
  <si>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</si>
  <si>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</si>
  <si>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    Другие общегосударственные вопросы</t>
  </si>
  <si>
    <t>13</t>
  </si>
  <si>
    <t xml:space="preserve">        Абонентское обслуживание компьютерного оборудования и программного обеспечения</t>
  </si>
  <si>
    <t>2090010410</t>
  </si>
  <si>
    <t xml:space="preserve">        Организация и проведение мероприятий, связанных с государственными праздниками, юбилейными датами и памятными датами</t>
  </si>
  <si>
    <t>2190010230</t>
  </si>
  <si>
    <t xml:space="preserve">        Выплаты премий и материального вознаграждения к Почетным грамотам и других премий</t>
  </si>
  <si>
    <t>2190040040</t>
  </si>
  <si>
    <t>300</t>
  </si>
  <si>
    <t xml:space="preserve">  Администрация Наволокского городского поселения Кинешемского муниципального района</t>
  </si>
  <si>
    <t>922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</si>
  <si>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</si>
  <si>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</si>
  <si>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Обеспечение функционирования Главы Наволокского городского поселения</t>
  </si>
  <si>
    <t>0750100030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</si>
  <si>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</si>
  <si>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</si>
  <si>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Техническое сопровождение информационных систем и телекоммуникационного оборудования для органов местного самоуправления Наволокского городского поселения</t>
  </si>
  <si>
    <t>0720110210</t>
  </si>
  <si>
    <t>0750100060</t>
  </si>
  <si>
    <t>0750294010</t>
  </si>
  <si>
    <t xml:space="preserve">            Межбюджетные трансферты</t>
  </si>
  <si>
    <t>500</t>
  </si>
  <si>
    <t>0750294020</t>
  </si>
  <si>
    <t>0750294030</t>
  </si>
  <si>
    <t>0750294050</t>
  </si>
  <si>
    <t>0750294060</t>
  </si>
  <si>
    <t>0750294070</t>
  </si>
  <si>
    <t>0750294080</t>
  </si>
  <si>
    <t>05</t>
  </si>
  <si>
    <t>07</t>
  </si>
  <si>
    <t xml:space="preserve">      Резервные фонды</t>
  </si>
  <si>
    <t>11</t>
  </si>
  <si>
    <t xml:space="preserve">        Резервный фонд Администрации Наволокского городского поселения</t>
  </si>
  <si>
    <t>0240140010</t>
  </si>
  <si>
    <t xml:space="preserve">        Техническая инвентаризация объектов муниципальной собственности и оценка имущества Наволокского городского поселения</t>
  </si>
  <si>
    <t>0110110010</t>
  </si>
  <si>
    <t xml:space="preserve">        Текущий ремонт и содержание жилых и нежилых помещений</t>
  </si>
  <si>
    <t>0110210020</t>
  </si>
  <si>
    <t xml:space="preserve">        Сопровождение информационно-консультационных систем и обслуживание компьютерного оборудования</t>
  </si>
  <si>
    <t>0720110360</t>
  </si>
  <si>
    <t xml:space="preserve">        Осуществление денежных выплат почетным гражданам Наволокского городского поселения</t>
  </si>
  <si>
    <t>0740140030</t>
  </si>
  <si>
    <t>0750294090</t>
  </si>
  <si>
    <t xml:space="preserve">        Организация предоставления государственных и муниципальных услуг на базе муниципального  учреждения "Многофункциональный центр предоставления государственных и муниципальных услуг городского округа Кинешма"</t>
  </si>
  <si>
    <t>0760110290</t>
  </si>
  <si>
    <t xml:space="preserve">        Уплата членских взносов в Ассоциацию "Совет муниципальных образований Ивановской области"</t>
  </si>
  <si>
    <t>2190095030</t>
  </si>
  <si>
    <t xml:space="preserve">        Исполнение судебных актов по искам к Наволокскому городскому поселению о возмещении вреда, причиненного незаконными действиями (бездействием) органов местного самоуправления Наволокского городского поселения или их должностных лиц, в том числе в результате издания органами местного самоуправления Наволокского городского поселения актов, не соответствующих закону или иному нормативному правовому акту, а также судебных актов по иным искам о взыскании денежных средств за счет казны Наволокского городского поселения (за исключением судебных актов о взыскании денежных средств в порядке субсидиарной ответственности главных распорядителей средств бюджета Наволокского городского поселения), судебных актов о присуждении компенсации за нарушение права на исполнение судебного акта в разумный срок за счет средств бюджета Наволокского городского поселения</t>
  </si>
  <si>
    <t>2190095040</t>
  </si>
  <si>
    <t xml:space="preserve">    НАЦИОНАЛЬНАЯ ОБОРОНА</t>
  </si>
  <si>
    <t xml:space="preserve">      Мобилизационная и вневойсковая подготовка</t>
  </si>
  <si>
    <t>2290051180</t>
  </si>
  <si>
    <t xml:space="preserve">    НАЦИОНАЛЬНАЯ БЕЗОПАСНОСТЬ И ПРАВООХРАНИТЕЛЬНАЯ ДЕЯТЕЛЬНОСТЬ</t>
  </si>
  <si>
    <t>09</t>
  </si>
  <si>
    <t>0220110060</t>
  </si>
  <si>
    <t xml:space="preserve">        Проведение мероприятий по предупреждению и ликвидации чрезвычайных ситуаций</t>
  </si>
  <si>
    <t>0230110070</t>
  </si>
  <si>
    <t xml:space="preserve">    НАЦИОНАЛЬНАЯ ЭКОНОМИКА</t>
  </si>
  <si>
    <t xml:space="preserve">      Водное хозяйство</t>
  </si>
  <si>
    <t>06</t>
  </si>
  <si>
    <t xml:space="preserve">        Текущее содержание инженерной защиты (дамбы, дренажные системы, водоперекачиваюшие станции)</t>
  </si>
  <si>
    <t>04202S0540</t>
  </si>
  <si>
    <t xml:space="preserve">      Дорожное хозяйство (дорожные фонды)</t>
  </si>
  <si>
    <t xml:space="preserve">        Содержание автомобильных дорог и инженерных сооружений на них в границах поселения</t>
  </si>
  <si>
    <t>0310110080</t>
  </si>
  <si>
    <t xml:space="preserve">        Расчистка от снега и грейдирование автомобильных дорог согласно заключенным соглашениям с поселениями о передаче полномочий</t>
  </si>
  <si>
    <t>0310190010</t>
  </si>
  <si>
    <t xml:space="preserve">        Ремонт автомобильных дорог общего пользования местного значения</t>
  </si>
  <si>
    <t>0320110090</t>
  </si>
  <si>
    <t xml:space="preserve">      Другие вопросы в области национальной экономики</t>
  </si>
  <si>
    <t>12</t>
  </si>
  <si>
    <t xml:space="preserve">        Проведение межевания, обследования и рыночной оценки земельных участков</t>
  </si>
  <si>
    <t>0110410040</t>
  </si>
  <si>
    <t xml:space="preserve">      Жилищное хозяйство</t>
  </si>
  <si>
    <t xml:space="preserve">        Организация содержания и ремонта муниципального жилищного фонда</t>
  </si>
  <si>
    <t>0410110440</t>
  </si>
  <si>
    <t xml:space="preserve">        Обязательные ежемесячные взносы на капитальный ремонт общего имущества в многоквартирном доме</t>
  </si>
  <si>
    <t>0410195050</t>
  </si>
  <si>
    <t xml:space="preserve">        Прочие мероприятия в области жилищного хозяйства</t>
  </si>
  <si>
    <t>0410210270</t>
  </si>
  <si>
    <t xml:space="preserve">      Коммунальное хозяйство</t>
  </si>
  <si>
    <t xml:space="preserve">        Техническое обслуживание инженерных сетей, находящихся в муниципальной собственности</t>
  </si>
  <si>
    <t>0420110130</t>
  </si>
  <si>
    <t xml:space="preserve">        Реализация мер по снижению потребления энергоресурсов</t>
  </si>
  <si>
    <t>0810110220</t>
  </si>
  <si>
    <t xml:space="preserve">      Благоустройство</t>
  </si>
  <si>
    <t xml:space="preserve">        Содержание и техническое обслуживание сетей уличного освещения</t>
  </si>
  <si>
    <t>0430110140</t>
  </si>
  <si>
    <t xml:space="preserve">        Проведение мероприятий по благоустройству территории  поселения</t>
  </si>
  <si>
    <t>0430110160</t>
  </si>
  <si>
    <t xml:space="preserve">    ОБРАЗОВАНИЕ</t>
  </si>
  <si>
    <t xml:space="preserve">      Профессиональная подготовка, переподготовка и повышение квалификации</t>
  </si>
  <si>
    <t xml:space="preserve">        Организация профессионального образования и дополнительного профессионального образования лиц, замещающих должности муниципальной службы в органах местного самоуправления Наволокского городского поселения</t>
  </si>
  <si>
    <t>0710110200</t>
  </si>
  <si>
    <t xml:space="preserve">      Молодежная политика и оздоровление детей</t>
  </si>
  <si>
    <t xml:space="preserve">    КУЛЬТУРА, КИНЕМАТОГРАФИЯ</t>
  </si>
  <si>
    <t>08</t>
  </si>
  <si>
    <t xml:space="preserve">      Культура</t>
  </si>
  <si>
    <t xml:space="preserve">        Обеспечение деятельности (оказание услуг, выполнение работ) муниципальных учреждений (дома культуры)</t>
  </si>
  <si>
    <t>0610100010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</si>
  <si>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</si>
  <si>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</si>
  <si>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Обеспечение деятельности (оказание услуг, выполнение работ) муниципальных учреждений (библиотеки)</t>
  </si>
  <si>
    <t>0620100010</t>
  </si>
  <si>
    <t>0660180340</t>
  </si>
  <si>
    <t>06601S0340</t>
  </si>
  <si>
    <t xml:space="preserve">    СОЦИАЛЬНАЯ ПОЛИТИКА</t>
  </si>
  <si>
    <t>10</t>
  </si>
  <si>
    <t xml:space="preserve">      Пенсионное обеспечение</t>
  </si>
  <si>
    <t>0730140020</t>
  </si>
  <si>
    <t xml:space="preserve">      Социальное обеспечение населения</t>
  </si>
  <si>
    <t xml:space="preserve">    ФИЗИЧЕСКАЯ КУЛЬТУРА И СПОРТ</t>
  </si>
  <si>
    <t xml:space="preserve">      Физическая культура</t>
  </si>
  <si>
    <t xml:space="preserve">        Обеспечение деятельности (оказание услуг, выполнение работ) муниципальных учреждений (ФОК)</t>
  </si>
  <si>
    <t>0630100010</t>
  </si>
  <si>
    <t xml:space="preserve">      Другие вопросы в области физической культуры и спорта</t>
  </si>
  <si>
    <t xml:space="preserve">        Организация проведения  физкультурно-оздоровительных и спортивных мероприятий поселения</t>
  </si>
  <si>
    <t>0640110180</t>
  </si>
  <si>
    <t xml:space="preserve">Всего расходов:   </t>
  </si>
  <si>
    <t>К221</t>
  </si>
  <si>
    <t>К225</t>
  </si>
  <si>
    <t>К226</t>
  </si>
  <si>
    <t>К227</t>
  </si>
  <si>
    <t>К343</t>
  </si>
  <si>
    <t>К346</t>
  </si>
  <si>
    <t>Услуги связи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</si>
  <si>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</si>
  <si>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</si>
  <si>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</si>
  <si>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горюче-смазочных материалов</t>
  </si>
  <si>
    <t>К349</t>
  </si>
  <si>
    <t>Увеличение стоимости прочих материальных запасов однократного применения</t>
  </si>
  <si>
    <t>К223</t>
  </si>
  <si>
    <t>Коммунальные услуги</t>
  </si>
  <si>
    <t>Прочие работы и услуги</t>
  </si>
  <si>
    <t>бюджета Наволокского городского поселения</t>
  </si>
  <si>
    <t>I. Расходы</t>
  </si>
  <si>
    <t>II. Источники внутреннего финансирования дефицита бюджета Наволокского городского поселения</t>
  </si>
  <si>
    <t>Наименование показателя</t>
  </si>
  <si>
    <t>Код классификации источников внутреннего финансирования дефицитов бюджета</t>
  </si>
  <si>
    <t>Сумма на</t>
  </si>
  <si>
    <t>Главного администратора</t>
  </si>
  <si>
    <t>Группы, подгруппы, статьи, вида</t>
  </si>
  <si>
    <t>2019 год</t>
  </si>
  <si>
    <t>2020 год</t>
  </si>
  <si>
    <t>Источники внутреннего финансирования дефицита бюджетов - всего:</t>
  </si>
  <si>
    <t>0100000000</t>
  </si>
  <si>
    <t>0000</t>
  </si>
  <si>
    <t>Изменения остатков средств на счетах  по учету средств бюджетов</t>
  </si>
  <si>
    <t>0105000000</t>
  </si>
  <si>
    <t>Увеличение остатков средств бюджетов</t>
  </si>
  <si>
    <t xml:space="preserve">Увеличение прочих остатков  средств бюджетов </t>
  </si>
  <si>
    <t>0105020000</t>
  </si>
  <si>
    <t xml:space="preserve"> Увеличение прочих остатков денежных средств бюджетов </t>
  </si>
  <si>
    <t>0105020100</t>
  </si>
  <si>
    <t>510</t>
  </si>
  <si>
    <t xml:space="preserve"> Увеличение прочих остатков денежных средств бюджетов поселений</t>
  </si>
  <si>
    <t>0105020113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</si>
  <si>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</si>
  <si>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</si>
  <si>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</si>
  <si>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</si>
  <si>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поселений</t>
  </si>
  <si>
    <t>Исполнение государственных и муниципальных гарантий в валюте Российской Федерации</t>
  </si>
  <si>
    <t>0106040000</t>
  </si>
  <si>
    <t>Исполнение государственных и муницпальных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</si>
  <si>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Исполнение государственных и муниципальных гарантий поселений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</si>
  <si>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0106040010</t>
  </si>
  <si>
    <t>Итого</t>
  </si>
  <si>
    <t>2022 год</t>
  </si>
  <si>
    <t>03201S0510</t>
  </si>
  <si>
    <t>112F255550</t>
  </si>
  <si>
    <t>К310</t>
  </si>
  <si>
    <t>дополнительный код</t>
  </si>
  <si>
    <t>Код классификации расходов бюджетов РФ</t>
  </si>
  <si>
    <t>главного распорядителя</t>
  </si>
  <si>
    <t>раздела</t>
  </si>
  <si>
    <t>подраздела</t>
  </si>
  <si>
    <t>целевой статьи</t>
  </si>
  <si>
    <t>вида расхода</t>
  </si>
  <si>
    <t>Увеличение стоимости прочих материальных запасов</t>
  </si>
  <si>
    <t>Выплаты премий и материального вознаграждения к Почетным грамотам и других премий</t>
  </si>
  <si>
    <t>Закупка товаров, работ и услуг для обеспечения государственных (муниципальных) нужд</t>
  </si>
  <si>
    <t>Обеспечение функционирования органов местного самоуправления Наволокского городского поселения</t>
  </si>
  <si>
    <t>Социальное обеспечение и иные выплаты населению</t>
  </si>
  <si>
    <t>Проведение мероприятий по пожарной  безопасности</t>
  </si>
  <si>
    <t>ЖИЛИЩНО-КОММУНАЛЬНОЕ ХОЗЯЙСТВО</t>
  </si>
  <si>
    <t>Увеличение стоимости основных средств</t>
  </si>
  <si>
    <t xml:space="preserve">Реализация программ формирования современной городской среды </t>
  </si>
  <si>
    <t>УП-597</t>
  </si>
  <si>
    <t>Предоставление субсидий бюджетным, автономным учреждениям и иным некоммерческим организациям</t>
  </si>
  <si>
    <t>Сводная бюджетная роспись</t>
  </si>
  <si>
    <t>Капитальные вложения в объекты государственной (муниципальной) собственности</t>
  </si>
  <si>
    <t>0750198700</t>
  </si>
  <si>
    <t xml:space="preserve">  Опубликование официальной и иной информации органов местного самоуправления </t>
  </si>
  <si>
    <t>K226</t>
  </si>
  <si>
    <t>0410210120</t>
  </si>
  <si>
    <t xml:space="preserve">Техническое заключение о состоянии строительных конструкций жилых домов </t>
  </si>
  <si>
    <t xml:space="preserve">   Капитальные вложения в объекты государственной (муниципальной) собственности</t>
  </si>
  <si>
    <t>0330110100</t>
  </si>
  <si>
    <t>Оформление в муниципальную собственность автомобильных дорог общего пользования в границах поселения</t>
  </si>
  <si>
    <t xml:space="preserve"> Закупка товаров, работ и услуг для обеспечения государственных (муниципальных) нужд</t>
  </si>
  <si>
    <t>Сумма на 2023 год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</si>
  <si>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</si>
  <si>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Сбор, удаление отходов и очистка сточных вод</t>
  </si>
  <si>
    <t>ОХРАНА ОКРУЖАЮЩЕЙ СРЕДЫ</t>
  </si>
  <si>
    <t>042G650130</t>
  </si>
  <si>
    <t xml:space="preserve">Сокращение доли загрязненных сточных вод </t>
  </si>
  <si>
    <t xml:space="preserve"> Предоставление субсидий бюджетным, автономным учреждениям и иным некоммерческим организациям</t>
  </si>
  <si>
    <t>2023 год</t>
  </si>
  <si>
    <t xml:space="preserve">    Закупка товаров, работ и услуг для обеспечения государственных (муниципальных) нужд</t>
  </si>
  <si>
    <t xml:space="preserve">  Закупка товаров, работ и услуг для обеспечения государственных (муниципальных) нужд</t>
  </si>
  <si>
    <t>К347</t>
  </si>
  <si>
    <t>Увеличение стоимости материальных запасов для целей капитальных вложений</t>
  </si>
  <si>
    <t>0210110050</t>
  </si>
  <si>
    <t xml:space="preserve">Проведение мероприятий по профилактике терроризма и экстремизма </t>
  </si>
  <si>
    <t>0650190180</t>
  </si>
  <si>
    <t xml:space="preserve">Осуществление части полномочий муниципального района по организации и проведению мероприятий межпоселенческого характера по работе с молодежью </t>
  </si>
  <si>
    <t xml:space="preserve">Осуществление части полномочий муниципального района в сфере культуры </t>
  </si>
  <si>
    <t>0610190160</t>
  </si>
  <si>
    <t xml:space="preserve">   Закупка товаров, работ и услуг для обеспечения государственных (муниципальных) нужд</t>
  </si>
  <si>
    <t>0440194060</t>
  </si>
  <si>
    <t>К222</t>
  </si>
  <si>
    <t>Транспортные услуги</t>
  </si>
  <si>
    <t>на 2022 год и плановый период 2023 и 2024 годов</t>
  </si>
  <si>
    <t xml:space="preserve"> Иной межбюджетный трансферт на осуществление части полномочий администраций городского и сельских поселений в сфере бюджетных правоотношений   </t>
  </si>
  <si>
    <t xml:space="preserve">Иной межбюджетный трансферт на осуществление части полномочий администраций городского и сельских поселений в сфере закупок товаров, работ, услуг для обеспечения нужд поселений </t>
  </si>
  <si>
    <t xml:space="preserve"> Иной межбюджетный трансферт на осуществление части полномочий администрации городского поселения в сфере градостроительной деятельности </t>
  </si>
  <si>
    <t xml:space="preserve"> Иной межбюджетный трансферт на осуществление части полномочий администрации городского поселения в сфере дорожной деятельности  </t>
  </si>
  <si>
    <t xml:space="preserve">Иной межбюджетный трансферт на осуществление части полномочий администрации городского поселения по вопросу организации и осуществления мероприятий по работе с детьми и молодежью в поселении </t>
  </si>
  <si>
    <t xml:space="preserve">  Иной межбюджетный трансферт на осуществление части полномочий администрации городского поселения по осуществлению муниципального контроля в области использования и охраны особо охраняемых природных территорий местного значения</t>
  </si>
  <si>
    <t>Иной межбюджетный трансферт на осуществление части полномочий администрации городского поселения по муниципальному лесному контролю</t>
  </si>
  <si>
    <t xml:space="preserve"> Иной межбюджетный трансферт на осуществление части полномочий администраций городского и сельских поселений по оказанию поддержки гражданам и их объединениям, участвующим в охране общественного порядка </t>
  </si>
  <si>
    <t>Сумма на 2024 год</t>
  </si>
  <si>
    <t>Проектирование строительства (реконструкции), капитального ремонта, строительство (реконструкция), капитальный ремонт, ремонт и содержание автомобильных дорог общего пользования местного значения, в том числе  на формирование муниципальных дорожных фондов</t>
  </si>
  <si>
    <t>046F367483</t>
  </si>
  <si>
    <t>046F36748S</t>
  </si>
  <si>
    <t xml:space="preserve">    Капитальные вложения в объекты государственной (муниципальной) собственности</t>
  </si>
  <si>
    <t xml:space="preserve">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</t>
  </si>
  <si>
    <t xml:space="preserve">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 </t>
  </si>
  <si>
    <t>04301S2000</t>
  </si>
  <si>
    <t xml:space="preserve"> Предоставление ежемесячной доплаты к страховой пенсии  </t>
  </si>
  <si>
    <t xml:space="preserve">  Осуществление части полномочий по вопросу организации и осуществления мероприятий по работе с детьми и молодежью в части предоставления социальных выплат на приобретение жилья </t>
  </si>
  <si>
    <t>Разработка проектов освоения лесов</t>
  </si>
  <si>
    <t>22-55550-00000-00000</t>
  </si>
  <si>
    <t>22324611104001200003</t>
  </si>
  <si>
    <t>К228</t>
  </si>
  <si>
    <t xml:space="preserve">Реализация инициативных проектов на территории Наволокского городского поселения (благоустройство общественной территории посредством устройства спортивно-игровой площадки пер. Колхозный г. Наволоки Кинешемского района Ивановской области) </t>
  </si>
  <si>
    <t>0430110522</t>
  </si>
  <si>
    <t>Подготовка проектов планировки территории</t>
  </si>
  <si>
    <t>0450110500</t>
  </si>
  <si>
    <t xml:space="preserve">     Закупка товаров, работ и услуг для обеспечения государственных (муниципальных) нужд</t>
  </si>
  <si>
    <t>22-51180-00000-00000</t>
  </si>
  <si>
    <t>Работы, услуги для целей капитальных вложений</t>
  </si>
  <si>
    <t>2024 год</t>
  </si>
  <si>
    <t>046F367484</t>
  </si>
  <si>
    <t xml:space="preserve">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бюджета поселения</t>
  </si>
  <si>
    <t>0420310510</t>
  </si>
  <si>
    <t xml:space="preserve">  Иные бюджетные ассигнования</t>
  </si>
  <si>
    <t>Обеспечение мероприятий по строительству объекта "Строительство централизованной системы водоотведения г.Наволоки с подключением в централизованную систему г.о.Кинешма"</t>
  </si>
  <si>
    <t xml:space="preserve">   Осуществление первичного воинского учета органами местного самоуправления поселений и городских округов</t>
  </si>
  <si>
    <t xml:space="preserve">       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</si>
  <si>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 xml:space="preserve">         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</si>
  <si>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 xml:space="preserve">Благоустройство </t>
  </si>
  <si>
    <t xml:space="preserve">  Сельское хозяйство и рыболовство</t>
  </si>
  <si>
    <t>Отлов безнадзорных животных</t>
  </si>
  <si>
    <t>0430210280</t>
  </si>
  <si>
    <t xml:space="preserve">   Прочие работы, услуги</t>
  </si>
  <si>
    <t xml:space="preserve">Реализация проектов развития территорий муниципальных образований Ивановской области (инициативных проектов) (Благоустройство общественной территории ул. Садовая с. Первомайский посредством устройства спортивно-игровой площадки) </t>
  </si>
  <si>
    <t>112F2S5101</t>
  </si>
  <si>
    <t>22009071-077</t>
  </si>
  <si>
    <t xml:space="preserve">   Иные бюджетные ассигнования</t>
  </si>
  <si>
    <t xml:space="preserve"> Иные бюджетные ассигнования </t>
  </si>
  <si>
    <t>06201L5191</t>
  </si>
  <si>
    <t xml:space="preserve"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 </t>
  </si>
  <si>
    <t>06301S3150</t>
  </si>
  <si>
    <t xml:space="preserve">Укрепление материально-технической базы спортивных организаций </t>
  </si>
  <si>
    <t>03201S8600</t>
  </si>
  <si>
    <t>Финансовое обеспечение дорожной деятельности на автомобильных дорогах общего пользования местного значения</t>
  </si>
  <si>
    <t>Резервный фонд Администрации Наволокского городского поселения</t>
  </si>
  <si>
    <t xml:space="preserve">     Прочие мероприятия в области коммунального хозяйства</t>
  </si>
  <si>
    <t>0420110250</t>
  </si>
  <si>
    <t>?</t>
  </si>
  <si>
    <t>на 01 декабря 2022 года</t>
  </si>
  <si>
    <t>042G6501F</t>
  </si>
  <si>
    <t>042G65013F</t>
  </si>
  <si>
    <t>22324611104001201003</t>
  </si>
  <si>
    <t>Сокращение доли загрязненных сточных вод за счет средств резервного фонда Правительства РФ</t>
  </si>
  <si>
    <t>Прочие работы,услуги</t>
  </si>
  <si>
    <t xml:space="preserve">     Иные бюджетные ассигнования</t>
  </si>
</sst>
</file>

<file path=xl/styles.xml><?xml version="1.0" encoding="utf-8"?>
<styleSheet xmlns="http://schemas.openxmlformats.org/spreadsheetml/2006/main">
  <fonts count="20">
    <font>
      <sz val="1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sz val="18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3" borderId="0"/>
    <xf numFmtId="0" fontId="8" fillId="0" borderId="14">
      <alignment horizontal="center" vertical="center" wrapText="1"/>
    </xf>
    <xf numFmtId="0" fontId="8" fillId="0" borderId="0"/>
    <xf numFmtId="0" fontId="8" fillId="3" borderId="0">
      <alignment shrinkToFit="1"/>
    </xf>
    <xf numFmtId="0" fontId="9" fillId="0" borderId="15">
      <alignment horizontal="right"/>
    </xf>
    <xf numFmtId="4" fontId="9" fillId="4" borderId="15">
      <alignment horizontal="right" vertical="top" shrinkToFit="1"/>
    </xf>
    <xf numFmtId="4" fontId="9" fillId="5" borderId="15">
      <alignment horizontal="right" vertical="top" shrinkToFit="1"/>
    </xf>
    <xf numFmtId="0" fontId="10" fillId="0" borderId="0">
      <alignment horizontal="center"/>
    </xf>
    <xf numFmtId="0" fontId="8" fillId="0" borderId="0">
      <alignment horizontal="right"/>
    </xf>
    <xf numFmtId="0" fontId="8" fillId="0" borderId="0">
      <alignment horizontal="left" wrapText="1"/>
    </xf>
    <xf numFmtId="0" fontId="9" fillId="0" borderId="14">
      <alignment vertical="top" wrapText="1"/>
    </xf>
    <xf numFmtId="1" fontId="8" fillId="0" borderId="14">
      <alignment vertical="top" wrapText="1"/>
    </xf>
    <xf numFmtId="1" fontId="8" fillId="0" borderId="14">
      <alignment horizontal="center" vertical="top" shrinkToFit="1"/>
    </xf>
    <xf numFmtId="0" fontId="8" fillId="3" borderId="0">
      <alignment horizontal="center"/>
    </xf>
    <xf numFmtId="4" fontId="9" fillId="4" borderId="14">
      <alignment horizontal="right" vertical="top" shrinkToFit="1"/>
    </xf>
    <xf numFmtId="4" fontId="9" fillId="0" borderId="14">
      <alignment horizontal="right" vertical="top" shrinkToFit="1"/>
    </xf>
    <xf numFmtId="4" fontId="8" fillId="0" borderId="14">
      <alignment horizontal="right" vertical="top" shrinkToFit="1"/>
    </xf>
    <xf numFmtId="4" fontId="9" fillId="5" borderId="14">
      <alignment horizontal="right" vertical="top" shrinkToFit="1"/>
    </xf>
    <xf numFmtId="0" fontId="8" fillId="0" borderId="0">
      <alignment vertical="top"/>
    </xf>
    <xf numFmtId="49" fontId="8" fillId="0" borderId="14">
      <alignment vertical="top" wrapText="1"/>
    </xf>
  </cellStyleXfs>
  <cellXfs count="124">
    <xf numFmtId="0" fontId="0" fillId="0" borderId="0" xfId="0"/>
    <xf numFmtId="0" fontId="0" fillId="0" borderId="0" xfId="0" applyProtection="1">
      <protection locked="0"/>
    </xf>
    <xf numFmtId="0" fontId="8" fillId="0" borderId="0" xfId="8" applyNumberFormat="1" applyProtection="1"/>
    <xf numFmtId="0" fontId="1" fillId="2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shrinkToFit="1"/>
    </xf>
    <xf numFmtId="49" fontId="4" fillId="2" borderId="2" xfId="0" applyNumberFormat="1" applyFont="1" applyFill="1" applyBorder="1" applyAlignment="1">
      <alignment horizontal="center" vertical="top" shrinkToFit="1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1" fillId="0" borderId="0" xfId="13" applyNumberFormat="1" applyFont="1" applyAlignment="1" applyProtection="1">
      <alignment horizontal="left"/>
    </xf>
    <xf numFmtId="0" fontId="12" fillId="0" borderId="0" xfId="13" applyNumberFormat="1" applyFont="1" applyAlignment="1" applyProtection="1">
      <alignment horizontal="left"/>
    </xf>
    <xf numFmtId="49" fontId="4" fillId="2" borderId="3" xfId="0" applyNumberFormat="1" applyFont="1" applyFill="1" applyBorder="1" applyAlignment="1">
      <alignment horizontal="center" vertical="top" shrinkToFit="1"/>
    </xf>
    <xf numFmtId="4" fontId="4" fillId="6" borderId="1" xfId="0" applyNumberFormat="1" applyFont="1" applyFill="1" applyBorder="1" applyAlignment="1">
      <alignment horizontal="right" vertical="top" shrinkToFit="1"/>
    </xf>
    <xf numFmtId="0" fontId="13" fillId="0" borderId="1" xfId="13" applyFont="1" applyBorder="1" applyAlignment="1"/>
    <xf numFmtId="0" fontId="4" fillId="0" borderId="1" xfId="0" applyFont="1" applyBorder="1" applyProtection="1">
      <protection locked="0"/>
    </xf>
    <xf numFmtId="0" fontId="14" fillId="6" borderId="1" xfId="0" applyFont="1" applyFill="1" applyBorder="1"/>
    <xf numFmtId="0" fontId="3" fillId="6" borderId="1" xfId="0" applyFont="1" applyFill="1" applyBorder="1"/>
    <xf numFmtId="0" fontId="3" fillId="2" borderId="1" xfId="0" applyFont="1" applyFill="1" applyBorder="1"/>
    <xf numFmtId="0" fontId="11" fillId="0" borderId="1" xfId="7" applyNumberFormat="1" applyFont="1" applyBorder="1" applyAlignment="1" applyProtection="1">
      <alignment horizontal="center" vertical="center" textRotation="90" wrapText="1"/>
    </xf>
    <xf numFmtId="0" fontId="11" fillId="0" borderId="1" xfId="7" applyNumberFormat="1" applyFont="1" applyBorder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5" fillId="0" borderId="16" xfId="16" applyNumberFormat="1" applyFont="1" applyBorder="1" applyProtection="1">
      <alignment vertical="top" wrapText="1"/>
    </xf>
    <xf numFmtId="1" fontId="16" fillId="0" borderId="16" xfId="18" applyNumberFormat="1" applyFont="1" applyBorder="1" applyProtection="1">
      <alignment horizontal="center" vertical="top" shrinkToFit="1"/>
    </xf>
    <xf numFmtId="0" fontId="16" fillId="0" borderId="14" xfId="16" applyNumberFormat="1" applyFont="1" applyProtection="1">
      <alignment vertical="top" wrapText="1"/>
    </xf>
    <xf numFmtId="1" fontId="16" fillId="0" borderId="14" xfId="18" applyNumberFormat="1" applyFont="1" applyProtection="1">
      <alignment horizontal="center" vertical="top" shrinkToFit="1"/>
    </xf>
    <xf numFmtId="0" fontId="15" fillId="0" borderId="14" xfId="16" applyNumberFormat="1" applyFont="1" applyProtection="1">
      <alignment vertical="top" wrapText="1"/>
    </xf>
    <xf numFmtId="0" fontId="4" fillId="0" borderId="0" xfId="0" applyFont="1" applyAlignment="1">
      <alignment wrapText="1"/>
    </xf>
    <xf numFmtId="49" fontId="16" fillId="0" borderId="14" xfId="18" applyNumberFormat="1" applyFont="1" applyProtection="1">
      <alignment horizontal="center" vertical="top" shrinkToFit="1"/>
    </xf>
    <xf numFmtId="0" fontId="16" fillId="0" borderId="0" xfId="8" applyNumberFormat="1" applyFont="1" applyProtection="1"/>
    <xf numFmtId="4" fontId="15" fillId="6" borderId="16" xfId="20" applyNumberFormat="1" applyFont="1" applyFill="1" applyBorder="1" applyProtection="1">
      <alignment horizontal="right" vertical="top" shrinkToFit="1"/>
    </xf>
    <xf numFmtId="4" fontId="16" fillId="6" borderId="14" xfId="20" applyNumberFormat="1" applyFont="1" applyFill="1" applyProtection="1">
      <alignment horizontal="right" vertical="top" shrinkToFit="1"/>
    </xf>
    <xf numFmtId="4" fontId="16" fillId="6" borderId="14" xfId="23" applyNumberFormat="1" applyFont="1" applyFill="1" applyProtection="1">
      <alignment horizontal="right" vertical="top" shrinkToFit="1"/>
    </xf>
    <xf numFmtId="0" fontId="16" fillId="0" borderId="17" xfId="16" applyNumberFormat="1" applyFont="1" applyBorder="1" applyProtection="1">
      <alignment vertical="top" wrapText="1"/>
    </xf>
    <xf numFmtId="1" fontId="16" fillId="0" borderId="17" xfId="18" applyNumberFormat="1" applyFont="1" applyBorder="1" applyProtection="1">
      <alignment horizontal="center" vertical="top" shrinkToFit="1"/>
    </xf>
    <xf numFmtId="4" fontId="16" fillId="6" borderId="17" xfId="20" applyNumberFormat="1" applyFont="1" applyFill="1" applyBorder="1" applyProtection="1">
      <alignment horizontal="right" vertical="top" shrinkToFit="1"/>
    </xf>
    <xf numFmtId="4" fontId="16" fillId="6" borderId="17" xfId="23" applyNumberFormat="1" applyFont="1" applyFill="1" applyBorder="1" applyProtection="1">
      <alignment horizontal="right" vertical="top" shrinkToFit="1"/>
    </xf>
    <xf numFmtId="0" fontId="16" fillId="0" borderId="1" xfId="10" applyNumberFormat="1" applyFont="1" applyBorder="1" applyProtection="1">
      <alignment horizontal="right"/>
    </xf>
    <xf numFmtId="4" fontId="16" fillId="6" borderId="1" xfId="11" applyNumberFormat="1" applyFont="1" applyFill="1" applyBorder="1" applyProtection="1">
      <alignment horizontal="right" vertical="top" shrinkToFit="1"/>
    </xf>
    <xf numFmtId="4" fontId="15" fillId="6" borderId="14" xfId="20" applyNumberFormat="1" applyFont="1" applyFill="1" applyProtection="1">
      <alignment horizontal="right" vertical="top" shrinkToFi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4" fontId="4" fillId="6" borderId="1" xfId="0" applyNumberFormat="1" applyFont="1" applyFill="1" applyBorder="1" applyAlignment="1">
      <alignment horizontal="right" vertical="center" shrinkToFit="1"/>
    </xf>
    <xf numFmtId="4" fontId="4" fillId="6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0" fontId="6" fillId="6" borderId="0" xfId="0" applyFont="1" applyFill="1"/>
    <xf numFmtId="0" fontId="0" fillId="6" borderId="0" xfId="0" applyFill="1" applyProtection="1">
      <protection locked="0"/>
    </xf>
    <xf numFmtId="1" fontId="16" fillId="0" borderId="14" xfId="18" applyNumberFormat="1" applyFont="1" applyAlignment="1" applyProtection="1">
      <alignment horizontal="center" vertical="top" wrapText="1" shrinkToFit="1"/>
    </xf>
    <xf numFmtId="1" fontId="16" fillId="0" borderId="18" xfId="18" applyNumberFormat="1" applyFont="1" applyBorder="1" applyProtection="1">
      <alignment horizontal="center" vertical="top" shrinkToFit="1"/>
    </xf>
    <xf numFmtId="0" fontId="3" fillId="0" borderId="19" xfId="0" applyFont="1" applyBorder="1" applyAlignment="1">
      <alignment wrapText="1"/>
    </xf>
    <xf numFmtId="0" fontId="16" fillId="0" borderId="14" xfId="16" applyNumberFormat="1" applyFont="1" applyAlignment="1" applyProtection="1">
      <alignment horizontal="left" vertical="top" wrapText="1"/>
    </xf>
    <xf numFmtId="0" fontId="16" fillId="6" borderId="14" xfId="16" applyNumberFormat="1" applyFont="1" applyFill="1" applyProtection="1">
      <alignment vertical="top" wrapText="1"/>
    </xf>
    <xf numFmtId="2" fontId="4" fillId="0" borderId="1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2" fillId="0" borderId="14" xfId="18" applyNumberFormat="1" applyFont="1" applyAlignment="1" applyProtection="1">
      <alignment horizontal="center" vertical="top" wrapText="1" shrinkToFit="1"/>
    </xf>
    <xf numFmtId="0" fontId="4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/>
    <xf numFmtId="2" fontId="4" fillId="0" borderId="1" xfId="0" applyNumberFormat="1" applyFont="1" applyBorder="1" applyAlignment="1" applyProtection="1">
      <protection locked="0"/>
    </xf>
    <xf numFmtId="0" fontId="18" fillId="0" borderId="20" xfId="0" applyFont="1" applyBorder="1"/>
    <xf numFmtId="1" fontId="16" fillId="0" borderId="14" xfId="18" applyFont="1">
      <alignment horizontal="center" vertical="top" shrinkToFit="1"/>
    </xf>
    <xf numFmtId="49" fontId="16" fillId="0" borderId="14" xfId="18" applyNumberFormat="1" applyFont="1">
      <alignment horizontal="center" vertical="top" shrinkToFit="1"/>
    </xf>
    <xf numFmtId="0" fontId="4" fillId="0" borderId="0" xfId="0" applyFont="1"/>
    <xf numFmtId="0" fontId="16" fillId="0" borderId="14" xfId="16" applyFont="1">
      <alignment vertical="top" wrapText="1"/>
    </xf>
    <xf numFmtId="0" fontId="16" fillId="0" borderId="22" xfId="25" applyNumberFormat="1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9" fillId="0" borderId="0" xfId="13" applyFont="1" applyAlignment="1">
      <alignment horizontal="center"/>
    </xf>
    <xf numFmtId="0" fontId="11" fillId="0" borderId="0" xfId="13" applyFont="1" applyAlignment="1">
      <alignment horizontal="center"/>
    </xf>
    <xf numFmtId="0" fontId="11" fillId="0" borderId="0" xfId="13" applyNumberFormat="1" applyFont="1" applyAlignment="1" applyProtection="1">
      <alignment horizontal="center"/>
    </xf>
    <xf numFmtId="0" fontId="13" fillId="0" borderId="0" xfId="13" applyNumberFormat="1" applyFont="1" applyAlignment="1" applyProtection="1">
      <alignment horizontal="center"/>
    </xf>
    <xf numFmtId="0" fontId="16" fillId="0" borderId="14" xfId="17" applyNumberFormat="1" applyFont="1" applyAlignment="1">
      <alignment horizontal="left" wrapText="1"/>
    </xf>
    <xf numFmtId="1" fontId="16" fillId="0" borderId="14" xfId="17" applyFont="1" applyAlignment="1" applyProtection="1">
      <alignment horizontal="left" wrapText="1"/>
      <protection locked="0"/>
    </xf>
    <xf numFmtId="1" fontId="16" fillId="0" borderId="17" xfId="17" applyFont="1" applyBorder="1" applyAlignment="1" applyProtection="1">
      <alignment horizontal="left" wrapText="1"/>
      <protection locked="0"/>
    </xf>
    <xf numFmtId="0" fontId="11" fillId="0" borderId="5" xfId="7" applyNumberFormat="1" applyFont="1" applyBorder="1" applyAlignment="1" applyProtection="1">
      <alignment horizontal="center" vertical="center" wrapText="1"/>
    </xf>
    <xf numFmtId="0" fontId="11" fillId="0" borderId="6" xfId="7" applyNumberFormat="1" applyFont="1" applyBorder="1" applyAlignment="1" applyProtection="1">
      <alignment horizontal="center" vertical="center" wrapText="1"/>
    </xf>
    <xf numFmtId="0" fontId="11" fillId="0" borderId="0" xfId="13" applyNumberFormat="1" applyFont="1" applyAlignment="1" applyProtection="1">
      <alignment horizontal="center" vertical="center"/>
    </xf>
    <xf numFmtId="0" fontId="11" fillId="0" borderId="4" xfId="13" applyFont="1" applyBorder="1" applyAlignment="1">
      <alignment horizontal="center" wrapText="1"/>
    </xf>
    <xf numFmtId="0" fontId="11" fillId="0" borderId="3" xfId="13" applyFont="1" applyBorder="1" applyAlignment="1">
      <alignment horizontal="center" wrapText="1"/>
    </xf>
    <xf numFmtId="0" fontId="11" fillId="0" borderId="2" xfId="13" applyFont="1" applyBorder="1" applyAlignment="1">
      <alignment horizontal="center" wrapText="1"/>
    </xf>
    <xf numFmtId="0" fontId="11" fillId="0" borderId="5" xfId="7" applyNumberFormat="1" applyFont="1" applyBorder="1" applyAlignment="1" applyProtection="1">
      <alignment horizontal="center" vertical="center" textRotation="90" wrapText="1"/>
    </xf>
    <xf numFmtId="0" fontId="11" fillId="0" borderId="6" xfId="7" applyNumberFormat="1" applyFont="1" applyBorder="1" applyAlignment="1" applyProtection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top" shrinkToFit="1"/>
    </xf>
    <xf numFmtId="49" fontId="4" fillId="2" borderId="3" xfId="0" applyNumberFormat="1" applyFont="1" applyFill="1" applyBorder="1" applyAlignment="1">
      <alignment horizontal="center" vertical="top" shrinkToFit="1"/>
    </xf>
    <xf numFmtId="4" fontId="4" fillId="6" borderId="1" xfId="0" applyNumberFormat="1" applyFont="1" applyFill="1" applyBorder="1" applyAlignment="1">
      <alignment horizontal="right" vertical="top" shrinkToFit="1"/>
    </xf>
    <xf numFmtId="4" fontId="4" fillId="6" borderId="1" xfId="0" applyNumberFormat="1" applyFont="1" applyFill="1" applyBorder="1" applyAlignment="1">
      <alignment horizontal="right" vertical="center" shrinkToFit="1"/>
    </xf>
    <xf numFmtId="0" fontId="16" fillId="0" borderId="1" xfId="10" applyNumberFormat="1" applyFont="1" applyBorder="1" applyProtection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</cellXfs>
  <cellStyles count="26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7"/>
  <sheetViews>
    <sheetView showGridLines="0" tabSelected="1" zoomScaleSheetLayoutView="100" workbookViewId="0">
      <pane ySplit="8" topLeftCell="A294" activePane="bottomLeft" state="frozen"/>
      <selection pane="bottomLeft" activeCell="G299" sqref="G299:H299"/>
    </sheetView>
  </sheetViews>
  <sheetFormatPr defaultRowHeight="15" outlineLevelRow="5"/>
  <cols>
    <col min="1" max="1" width="51" style="1" customWidth="1"/>
    <col min="2" max="2" width="7.5703125" style="1" customWidth="1"/>
    <col min="3" max="3" width="5.85546875" style="1" customWidth="1"/>
    <col min="4" max="4" width="5.5703125" style="1" customWidth="1"/>
    <col min="5" max="5" width="13.140625" style="1" customWidth="1"/>
    <col min="6" max="6" width="7.7109375" style="1" customWidth="1"/>
    <col min="7" max="7" width="9.140625" style="1" hidden="1" customWidth="1"/>
    <col min="8" max="8" width="12.140625" style="1" customWidth="1"/>
    <col min="9" max="13" width="9.140625" style="1" hidden="1" customWidth="1"/>
    <col min="14" max="14" width="14.7109375" style="1" customWidth="1"/>
    <col min="15" max="19" width="9.140625" style="1" hidden="1" customWidth="1"/>
    <col min="20" max="20" width="1" style="1" hidden="1" customWidth="1"/>
    <col min="21" max="21" width="14" style="1" customWidth="1"/>
    <col min="22" max="22" width="13.85546875" style="1" customWidth="1"/>
    <col min="23" max="23" width="9.140625" style="1" customWidth="1"/>
    <col min="24" max="16384" width="9.140625" style="1"/>
  </cols>
  <sheetData>
    <row r="1" spans="1:26" ht="15.75" customHeight="1">
      <c r="A1" s="80" t="s">
        <v>210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4"/>
      <c r="X1" s="5"/>
      <c r="Y1" s="3"/>
    </row>
    <row r="2" spans="1:26" ht="15.75" customHeight="1">
      <c r="A2" s="81" t="s">
        <v>154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4"/>
      <c r="X2" s="5"/>
      <c r="Y2" s="3"/>
    </row>
    <row r="3" spans="1:26" ht="15.75" customHeight="1">
      <c r="A3" s="82" t="s">
        <v>243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4"/>
      <c r="X3" s="5"/>
      <c r="Y3" s="3"/>
    </row>
    <row r="4" spans="1:26" ht="15.75" customHeight="1">
      <c r="A4" s="89" t="s">
        <v>302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4"/>
      <c r="X4" s="5"/>
      <c r="Y4" s="3"/>
    </row>
    <row r="5" spans="1:26" ht="15.7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5"/>
      <c r="Y5" s="3"/>
    </row>
    <row r="6" spans="1:26" ht="15.75" customHeight="1">
      <c r="A6" s="82" t="s">
        <v>155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4"/>
      <c r="X6" s="5"/>
      <c r="Y6" s="3"/>
    </row>
    <row r="7" spans="1:26" ht="37.5" customHeight="1">
      <c r="A7" s="87" t="s">
        <v>157</v>
      </c>
      <c r="B7" s="90" t="s">
        <v>193</v>
      </c>
      <c r="C7" s="91"/>
      <c r="D7" s="91"/>
      <c r="E7" s="91"/>
      <c r="F7" s="92"/>
      <c r="G7" s="19"/>
      <c r="H7" s="93" t="s">
        <v>192</v>
      </c>
      <c r="I7" s="21"/>
      <c r="J7" s="22"/>
      <c r="K7" s="22"/>
      <c r="L7" s="23"/>
      <c r="M7" s="19"/>
      <c r="N7" s="87" t="s">
        <v>1</v>
      </c>
      <c r="O7" s="19"/>
      <c r="P7" s="19"/>
      <c r="Q7" s="19"/>
      <c r="R7" s="19"/>
      <c r="S7" s="19"/>
      <c r="T7" s="19"/>
      <c r="U7" s="87" t="s">
        <v>221</v>
      </c>
      <c r="V7" s="87" t="s">
        <v>252</v>
      </c>
      <c r="W7" s="4"/>
      <c r="X7" s="54"/>
      <c r="Y7" s="5"/>
      <c r="Z7" s="55"/>
    </row>
    <row r="8" spans="1:26" ht="40.5" customHeight="1">
      <c r="A8" s="88"/>
      <c r="B8" s="24" t="s">
        <v>194</v>
      </c>
      <c r="C8" s="24" t="s">
        <v>195</v>
      </c>
      <c r="D8" s="24" t="s">
        <v>196</v>
      </c>
      <c r="E8" s="24" t="s">
        <v>197</v>
      </c>
      <c r="F8" s="24" t="s">
        <v>198</v>
      </c>
      <c r="G8" s="25" t="s">
        <v>0</v>
      </c>
      <c r="H8" s="94"/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88"/>
      <c r="O8" s="25" t="s">
        <v>0</v>
      </c>
      <c r="P8" s="25" t="s">
        <v>0</v>
      </c>
      <c r="Q8" s="25" t="s">
        <v>0</v>
      </c>
      <c r="R8" s="25" t="s">
        <v>0</v>
      </c>
      <c r="S8" s="25" t="s">
        <v>0</v>
      </c>
      <c r="T8" s="25" t="s">
        <v>0</v>
      </c>
      <c r="U8" s="88"/>
      <c r="V8" s="88"/>
      <c r="W8" s="2"/>
    </row>
    <row r="9" spans="1:26" ht="30.75" customHeight="1">
      <c r="A9" s="27" t="s">
        <v>2</v>
      </c>
      <c r="B9" s="28" t="s">
        <v>3</v>
      </c>
      <c r="C9" s="28" t="s">
        <v>4</v>
      </c>
      <c r="D9" s="28" t="s">
        <v>4</v>
      </c>
      <c r="E9" s="28" t="s">
        <v>5</v>
      </c>
      <c r="F9" s="28" t="s">
        <v>6</v>
      </c>
      <c r="G9" s="28" t="s">
        <v>6</v>
      </c>
      <c r="H9" s="28"/>
      <c r="I9" s="28"/>
      <c r="J9" s="28"/>
      <c r="K9" s="28"/>
      <c r="L9" s="28"/>
      <c r="M9" s="28"/>
      <c r="N9" s="35">
        <f>N10</f>
        <v>606500</v>
      </c>
      <c r="O9" s="35">
        <f t="shared" ref="O9:V9" si="0">O10</f>
        <v>742400</v>
      </c>
      <c r="P9" s="35">
        <f t="shared" si="0"/>
        <v>0</v>
      </c>
      <c r="Q9" s="35">
        <f t="shared" si="0"/>
        <v>742400</v>
      </c>
      <c r="R9" s="35">
        <f t="shared" si="0"/>
        <v>0</v>
      </c>
      <c r="S9" s="35">
        <f t="shared" si="0"/>
        <v>742400</v>
      </c>
      <c r="T9" s="35">
        <f t="shared" si="0"/>
        <v>0</v>
      </c>
      <c r="U9" s="35">
        <f t="shared" si="0"/>
        <v>533900</v>
      </c>
      <c r="V9" s="35">
        <f t="shared" si="0"/>
        <v>533900</v>
      </c>
      <c r="W9" s="2"/>
    </row>
    <row r="10" spans="1:26" outlineLevel="1">
      <c r="A10" s="29" t="s">
        <v>7</v>
      </c>
      <c r="B10" s="30" t="s">
        <v>3</v>
      </c>
      <c r="C10" s="30" t="s">
        <v>8</v>
      </c>
      <c r="D10" s="30" t="s">
        <v>4</v>
      </c>
      <c r="E10" s="30" t="s">
        <v>5</v>
      </c>
      <c r="F10" s="30" t="s">
        <v>6</v>
      </c>
      <c r="G10" s="30" t="s">
        <v>6</v>
      </c>
      <c r="H10" s="30"/>
      <c r="I10" s="30"/>
      <c r="J10" s="30"/>
      <c r="K10" s="30"/>
      <c r="L10" s="30"/>
      <c r="M10" s="30"/>
      <c r="N10" s="36">
        <f t="shared" ref="N10:V10" si="1">N11+N19</f>
        <v>606500</v>
      </c>
      <c r="O10" s="36">
        <f t="shared" si="1"/>
        <v>742400</v>
      </c>
      <c r="P10" s="36">
        <f t="shared" si="1"/>
        <v>0</v>
      </c>
      <c r="Q10" s="36">
        <f t="shared" si="1"/>
        <v>742400</v>
      </c>
      <c r="R10" s="36">
        <f t="shared" si="1"/>
        <v>0</v>
      </c>
      <c r="S10" s="36">
        <f t="shared" si="1"/>
        <v>742400</v>
      </c>
      <c r="T10" s="36">
        <f t="shared" si="1"/>
        <v>0</v>
      </c>
      <c r="U10" s="36">
        <f t="shared" si="1"/>
        <v>533900</v>
      </c>
      <c r="V10" s="36">
        <f t="shared" si="1"/>
        <v>533900</v>
      </c>
      <c r="W10" s="2"/>
    </row>
    <row r="11" spans="1:26" ht="54.75" customHeight="1" outlineLevel="2">
      <c r="A11" s="29" t="s">
        <v>9</v>
      </c>
      <c r="B11" s="30" t="s">
        <v>3</v>
      </c>
      <c r="C11" s="30" t="s">
        <v>8</v>
      </c>
      <c r="D11" s="30" t="s">
        <v>10</v>
      </c>
      <c r="E11" s="30" t="s">
        <v>5</v>
      </c>
      <c r="F11" s="30" t="s">
        <v>6</v>
      </c>
      <c r="G11" s="30" t="s">
        <v>6</v>
      </c>
      <c r="H11" s="30"/>
      <c r="I11" s="30"/>
      <c r="J11" s="30"/>
      <c r="K11" s="30"/>
      <c r="L11" s="30"/>
      <c r="M11" s="30"/>
      <c r="N11" s="36">
        <f>N12</f>
        <v>598100</v>
      </c>
      <c r="O11" s="36">
        <f t="shared" ref="O11:V11" si="2">O12</f>
        <v>721600</v>
      </c>
      <c r="P11" s="36">
        <f t="shared" si="2"/>
        <v>0</v>
      </c>
      <c r="Q11" s="36">
        <f t="shared" si="2"/>
        <v>721600</v>
      </c>
      <c r="R11" s="36">
        <f t="shared" si="2"/>
        <v>0</v>
      </c>
      <c r="S11" s="36">
        <f t="shared" si="2"/>
        <v>721600</v>
      </c>
      <c r="T11" s="36">
        <f t="shared" si="2"/>
        <v>0</v>
      </c>
      <c r="U11" s="36">
        <f t="shared" si="2"/>
        <v>510700</v>
      </c>
      <c r="V11" s="36">
        <f t="shared" si="2"/>
        <v>510700</v>
      </c>
      <c r="W11" s="2"/>
    </row>
    <row r="12" spans="1:26" ht="30" outlineLevel="3">
      <c r="A12" s="29" t="s">
        <v>202</v>
      </c>
      <c r="B12" s="30" t="s">
        <v>3</v>
      </c>
      <c r="C12" s="30" t="s">
        <v>8</v>
      </c>
      <c r="D12" s="30" t="s">
        <v>10</v>
      </c>
      <c r="E12" s="30" t="s">
        <v>13</v>
      </c>
      <c r="F12" s="30" t="s">
        <v>6</v>
      </c>
      <c r="G12" s="30" t="s">
        <v>6</v>
      </c>
      <c r="H12" s="30"/>
      <c r="I12" s="30"/>
      <c r="J12" s="30"/>
      <c r="K12" s="30"/>
      <c r="L12" s="30"/>
      <c r="M12" s="30"/>
      <c r="N12" s="36">
        <f>N13+N14</f>
        <v>598100</v>
      </c>
      <c r="O12" s="36">
        <f t="shared" ref="O12:V12" si="3">O13+O14</f>
        <v>721600</v>
      </c>
      <c r="P12" s="36">
        <f t="shared" si="3"/>
        <v>0</v>
      </c>
      <c r="Q12" s="36">
        <f t="shared" si="3"/>
        <v>721600</v>
      </c>
      <c r="R12" s="36">
        <f t="shared" si="3"/>
        <v>0</v>
      </c>
      <c r="S12" s="36">
        <f t="shared" si="3"/>
        <v>721600</v>
      </c>
      <c r="T12" s="36">
        <f t="shared" si="3"/>
        <v>0</v>
      </c>
      <c r="U12" s="36">
        <f t="shared" si="3"/>
        <v>510700</v>
      </c>
      <c r="V12" s="36">
        <f t="shared" si="3"/>
        <v>510700</v>
      </c>
      <c r="W12" s="2"/>
    </row>
    <row r="13" spans="1:26" ht="78.75" customHeight="1" outlineLevel="5">
      <c r="A13" s="29" t="s">
        <v>11</v>
      </c>
      <c r="B13" s="30" t="s">
        <v>3</v>
      </c>
      <c r="C13" s="30" t="s">
        <v>8</v>
      </c>
      <c r="D13" s="30" t="s">
        <v>10</v>
      </c>
      <c r="E13" s="30" t="s">
        <v>13</v>
      </c>
      <c r="F13" s="30" t="s">
        <v>12</v>
      </c>
      <c r="G13" s="30" t="s">
        <v>6</v>
      </c>
      <c r="H13" s="30"/>
      <c r="I13" s="30"/>
      <c r="J13" s="30"/>
      <c r="K13" s="30"/>
      <c r="L13" s="30"/>
      <c r="M13" s="30"/>
      <c r="N13" s="36">
        <f>452200+42900+43000</f>
        <v>538100</v>
      </c>
      <c r="O13" s="37">
        <v>721600</v>
      </c>
      <c r="P13" s="37">
        <v>0</v>
      </c>
      <c r="Q13" s="37">
        <v>721600</v>
      </c>
      <c r="R13" s="37">
        <v>0</v>
      </c>
      <c r="S13" s="37">
        <v>721600</v>
      </c>
      <c r="T13" s="37">
        <v>0</v>
      </c>
      <c r="U13" s="36">
        <v>452200</v>
      </c>
      <c r="V13" s="36">
        <v>452200</v>
      </c>
      <c r="W13" s="2"/>
    </row>
    <row r="14" spans="1:26" ht="33.75" customHeight="1" outlineLevel="5">
      <c r="A14" s="29" t="s">
        <v>14</v>
      </c>
      <c r="B14" s="30" t="s">
        <v>3</v>
      </c>
      <c r="C14" s="30" t="s">
        <v>8</v>
      </c>
      <c r="D14" s="30" t="s">
        <v>10</v>
      </c>
      <c r="E14" s="30" t="s">
        <v>13</v>
      </c>
      <c r="F14" s="30" t="s">
        <v>15</v>
      </c>
      <c r="G14" s="30" t="s">
        <v>6</v>
      </c>
      <c r="H14" s="30"/>
      <c r="I14" s="30"/>
      <c r="J14" s="30"/>
      <c r="K14" s="30"/>
      <c r="L14" s="30"/>
      <c r="M14" s="30"/>
      <c r="N14" s="36">
        <f t="shared" ref="N14:V14" si="4">SUM(N15:N18)</f>
        <v>60000</v>
      </c>
      <c r="O14" s="36">
        <f t="shared" si="4"/>
        <v>0</v>
      </c>
      <c r="P14" s="36">
        <f t="shared" si="4"/>
        <v>0</v>
      </c>
      <c r="Q14" s="36">
        <f t="shared" si="4"/>
        <v>0</v>
      </c>
      <c r="R14" s="36">
        <f t="shared" si="4"/>
        <v>0</v>
      </c>
      <c r="S14" s="36">
        <f t="shared" si="4"/>
        <v>0</v>
      </c>
      <c r="T14" s="36">
        <f t="shared" si="4"/>
        <v>0</v>
      </c>
      <c r="U14" s="36">
        <f t="shared" si="4"/>
        <v>58500</v>
      </c>
      <c r="V14" s="36">
        <f t="shared" si="4"/>
        <v>58500</v>
      </c>
      <c r="W14" s="2"/>
    </row>
    <row r="15" spans="1:26" ht="15.95" customHeight="1" outlineLevel="5">
      <c r="A15" s="29" t="s">
        <v>144</v>
      </c>
      <c r="B15" s="30" t="s">
        <v>3</v>
      </c>
      <c r="C15" s="30" t="s">
        <v>8</v>
      </c>
      <c r="D15" s="30" t="s">
        <v>10</v>
      </c>
      <c r="E15" s="30" t="s">
        <v>13</v>
      </c>
      <c r="F15" s="30" t="s">
        <v>15</v>
      </c>
      <c r="G15" s="30"/>
      <c r="H15" s="30" t="s">
        <v>138</v>
      </c>
      <c r="I15" s="30"/>
      <c r="J15" s="30"/>
      <c r="K15" s="30"/>
      <c r="L15" s="30"/>
      <c r="M15" s="30"/>
      <c r="N15" s="36">
        <v>13500</v>
      </c>
      <c r="O15" s="37"/>
      <c r="P15" s="37"/>
      <c r="Q15" s="37"/>
      <c r="R15" s="37"/>
      <c r="S15" s="37"/>
      <c r="T15" s="37"/>
      <c r="U15" s="36">
        <v>13500</v>
      </c>
      <c r="V15" s="36">
        <v>13500</v>
      </c>
      <c r="W15" s="2"/>
    </row>
    <row r="16" spans="1:26" ht="15.95" customHeight="1" outlineLevel="5">
      <c r="A16" s="29" t="s">
        <v>145</v>
      </c>
      <c r="B16" s="30" t="s">
        <v>3</v>
      </c>
      <c r="C16" s="30" t="s">
        <v>8</v>
      </c>
      <c r="D16" s="30" t="s">
        <v>10</v>
      </c>
      <c r="E16" s="30" t="s">
        <v>13</v>
      </c>
      <c r="F16" s="30" t="s">
        <v>15</v>
      </c>
      <c r="G16" s="30"/>
      <c r="H16" s="30" t="s">
        <v>139</v>
      </c>
      <c r="I16" s="30"/>
      <c r="J16" s="30"/>
      <c r="K16" s="30"/>
      <c r="L16" s="30"/>
      <c r="M16" s="30"/>
      <c r="N16" s="36">
        <v>12250</v>
      </c>
      <c r="O16" s="37"/>
      <c r="P16" s="37"/>
      <c r="Q16" s="37"/>
      <c r="R16" s="37"/>
      <c r="S16" s="37"/>
      <c r="T16" s="37"/>
      <c r="U16" s="36">
        <v>12250</v>
      </c>
      <c r="V16" s="36">
        <v>12250</v>
      </c>
      <c r="W16" s="2"/>
    </row>
    <row r="17" spans="1:23" ht="15.95" customHeight="1" outlineLevel="5">
      <c r="A17" s="29" t="s">
        <v>146</v>
      </c>
      <c r="B17" s="30" t="s">
        <v>3</v>
      </c>
      <c r="C17" s="30" t="s">
        <v>8</v>
      </c>
      <c r="D17" s="30" t="s">
        <v>10</v>
      </c>
      <c r="E17" s="30" t="s">
        <v>13</v>
      </c>
      <c r="F17" s="30" t="s">
        <v>15</v>
      </c>
      <c r="G17" s="30"/>
      <c r="H17" s="30" t="s">
        <v>140</v>
      </c>
      <c r="I17" s="30"/>
      <c r="J17" s="30"/>
      <c r="K17" s="30"/>
      <c r="L17" s="30"/>
      <c r="M17" s="30"/>
      <c r="N17" s="36">
        <v>8800</v>
      </c>
      <c r="O17" s="37"/>
      <c r="P17" s="37"/>
      <c r="Q17" s="37"/>
      <c r="R17" s="37"/>
      <c r="S17" s="37"/>
      <c r="T17" s="37"/>
      <c r="U17" s="36">
        <v>8800</v>
      </c>
      <c r="V17" s="36">
        <v>8800</v>
      </c>
      <c r="W17" s="2"/>
    </row>
    <row r="18" spans="1:23" ht="15.95" customHeight="1" outlineLevel="5">
      <c r="A18" s="29" t="s">
        <v>199</v>
      </c>
      <c r="B18" s="30" t="s">
        <v>3</v>
      </c>
      <c r="C18" s="30" t="s">
        <v>8</v>
      </c>
      <c r="D18" s="30" t="s">
        <v>10</v>
      </c>
      <c r="E18" s="30" t="s">
        <v>13</v>
      </c>
      <c r="F18" s="30" t="s">
        <v>15</v>
      </c>
      <c r="G18" s="30"/>
      <c r="H18" s="30" t="s">
        <v>143</v>
      </c>
      <c r="I18" s="30"/>
      <c r="J18" s="30"/>
      <c r="K18" s="30"/>
      <c r="L18" s="30"/>
      <c r="M18" s="30"/>
      <c r="N18" s="36">
        <v>25450</v>
      </c>
      <c r="O18" s="37"/>
      <c r="P18" s="37"/>
      <c r="Q18" s="37"/>
      <c r="R18" s="37"/>
      <c r="S18" s="37"/>
      <c r="T18" s="37"/>
      <c r="U18" s="36">
        <v>23950</v>
      </c>
      <c r="V18" s="36">
        <v>23950</v>
      </c>
      <c r="W18" s="2"/>
    </row>
    <row r="19" spans="1:23" ht="15.95" customHeight="1" outlineLevel="2">
      <c r="A19" s="29" t="s">
        <v>18</v>
      </c>
      <c r="B19" s="30" t="s">
        <v>3</v>
      </c>
      <c r="C19" s="30" t="s">
        <v>8</v>
      </c>
      <c r="D19" s="30" t="s">
        <v>19</v>
      </c>
      <c r="E19" s="30" t="s">
        <v>5</v>
      </c>
      <c r="F19" s="30" t="s">
        <v>6</v>
      </c>
      <c r="G19" s="30" t="s">
        <v>6</v>
      </c>
      <c r="H19" s="30"/>
      <c r="I19" s="30"/>
      <c r="J19" s="30"/>
      <c r="K19" s="30"/>
      <c r="L19" s="30"/>
      <c r="M19" s="30"/>
      <c r="N19" s="36">
        <f>N20+N23+N26</f>
        <v>8400</v>
      </c>
      <c r="O19" s="36">
        <f t="shared" ref="O19:V19" si="5">O20+O23+O26</f>
        <v>20800</v>
      </c>
      <c r="P19" s="36">
        <f t="shared" si="5"/>
        <v>0</v>
      </c>
      <c r="Q19" s="36">
        <f t="shared" si="5"/>
        <v>20800</v>
      </c>
      <c r="R19" s="36">
        <f t="shared" si="5"/>
        <v>0</v>
      </c>
      <c r="S19" s="36">
        <f t="shared" si="5"/>
        <v>20800</v>
      </c>
      <c r="T19" s="36">
        <f t="shared" si="5"/>
        <v>0</v>
      </c>
      <c r="U19" s="36">
        <f t="shared" si="5"/>
        <v>23200</v>
      </c>
      <c r="V19" s="36">
        <f t="shared" si="5"/>
        <v>23200</v>
      </c>
      <c r="W19" s="2"/>
    </row>
    <row r="20" spans="1:23" ht="30" outlineLevel="3">
      <c r="A20" s="29" t="s">
        <v>20</v>
      </c>
      <c r="B20" s="30" t="s">
        <v>3</v>
      </c>
      <c r="C20" s="30" t="s">
        <v>8</v>
      </c>
      <c r="D20" s="30" t="s">
        <v>19</v>
      </c>
      <c r="E20" s="30" t="s">
        <v>21</v>
      </c>
      <c r="F20" s="30" t="s">
        <v>6</v>
      </c>
      <c r="G20" s="30" t="s">
        <v>6</v>
      </c>
      <c r="H20" s="30"/>
      <c r="I20" s="30"/>
      <c r="J20" s="30"/>
      <c r="K20" s="30"/>
      <c r="L20" s="30"/>
      <c r="M20" s="30"/>
      <c r="N20" s="36">
        <f>N21</f>
        <v>2400</v>
      </c>
      <c r="O20" s="36">
        <f t="shared" ref="O20:V20" si="6">O21</f>
        <v>0</v>
      </c>
      <c r="P20" s="36">
        <f t="shared" si="6"/>
        <v>0</v>
      </c>
      <c r="Q20" s="36">
        <f t="shared" si="6"/>
        <v>0</v>
      </c>
      <c r="R20" s="36">
        <f t="shared" si="6"/>
        <v>0</v>
      </c>
      <c r="S20" s="36">
        <f t="shared" si="6"/>
        <v>0</v>
      </c>
      <c r="T20" s="36">
        <f t="shared" si="6"/>
        <v>0</v>
      </c>
      <c r="U20" s="36">
        <f t="shared" si="6"/>
        <v>2400</v>
      </c>
      <c r="V20" s="36">
        <f t="shared" si="6"/>
        <v>2400</v>
      </c>
      <c r="W20" s="2"/>
    </row>
    <row r="21" spans="1:23" ht="34.5" customHeight="1" outlineLevel="5">
      <c r="A21" s="29" t="s">
        <v>201</v>
      </c>
      <c r="B21" s="30" t="s">
        <v>3</v>
      </c>
      <c r="C21" s="30" t="s">
        <v>8</v>
      </c>
      <c r="D21" s="30" t="s">
        <v>19</v>
      </c>
      <c r="E21" s="30" t="s">
        <v>21</v>
      </c>
      <c r="F21" s="30" t="s">
        <v>15</v>
      </c>
      <c r="G21" s="30" t="s">
        <v>6</v>
      </c>
      <c r="H21" s="30"/>
      <c r="I21" s="30"/>
      <c r="J21" s="30"/>
      <c r="K21" s="30"/>
      <c r="L21" s="30"/>
      <c r="M21" s="30"/>
      <c r="N21" s="36">
        <f>N22</f>
        <v>2400</v>
      </c>
      <c r="O21" s="36">
        <f t="shared" ref="O21:V21" si="7">O22</f>
        <v>0</v>
      </c>
      <c r="P21" s="36">
        <f t="shared" si="7"/>
        <v>0</v>
      </c>
      <c r="Q21" s="36">
        <f t="shared" si="7"/>
        <v>0</v>
      </c>
      <c r="R21" s="36">
        <f t="shared" si="7"/>
        <v>0</v>
      </c>
      <c r="S21" s="36">
        <f t="shared" si="7"/>
        <v>0</v>
      </c>
      <c r="T21" s="36">
        <f t="shared" si="7"/>
        <v>0</v>
      </c>
      <c r="U21" s="36">
        <f t="shared" si="7"/>
        <v>2400</v>
      </c>
      <c r="V21" s="36">
        <f t="shared" si="7"/>
        <v>2400</v>
      </c>
      <c r="W21" s="2"/>
    </row>
    <row r="22" spans="1:23" outlineLevel="5">
      <c r="A22" s="29" t="s">
        <v>146</v>
      </c>
      <c r="B22" s="30" t="s">
        <v>3</v>
      </c>
      <c r="C22" s="30" t="s">
        <v>8</v>
      </c>
      <c r="D22" s="30" t="s">
        <v>19</v>
      </c>
      <c r="E22" s="30" t="s">
        <v>21</v>
      </c>
      <c r="F22" s="30" t="s">
        <v>15</v>
      </c>
      <c r="G22" s="30"/>
      <c r="H22" s="30" t="s">
        <v>140</v>
      </c>
      <c r="I22" s="30"/>
      <c r="J22" s="30"/>
      <c r="K22" s="30"/>
      <c r="L22" s="30"/>
      <c r="M22" s="30"/>
      <c r="N22" s="36">
        <v>2400</v>
      </c>
      <c r="O22" s="37"/>
      <c r="P22" s="37"/>
      <c r="Q22" s="37"/>
      <c r="R22" s="37"/>
      <c r="S22" s="37"/>
      <c r="T22" s="37"/>
      <c r="U22" s="36">
        <v>2400</v>
      </c>
      <c r="V22" s="36">
        <v>2400</v>
      </c>
      <c r="W22" s="2"/>
    </row>
    <row r="23" spans="1:23" ht="44.25" customHeight="1" outlineLevel="3">
      <c r="A23" s="29" t="s">
        <v>22</v>
      </c>
      <c r="B23" s="30" t="s">
        <v>3</v>
      </c>
      <c r="C23" s="30" t="s">
        <v>8</v>
      </c>
      <c r="D23" s="30" t="s">
        <v>19</v>
      </c>
      <c r="E23" s="30" t="s">
        <v>23</v>
      </c>
      <c r="F23" s="30" t="s">
        <v>6</v>
      </c>
      <c r="G23" s="30" t="s">
        <v>6</v>
      </c>
      <c r="H23" s="30"/>
      <c r="I23" s="30"/>
      <c r="J23" s="30"/>
      <c r="K23" s="30"/>
      <c r="L23" s="30"/>
      <c r="M23" s="30"/>
      <c r="N23" s="36">
        <f>N24</f>
        <v>3700</v>
      </c>
      <c r="O23" s="37">
        <v>15000</v>
      </c>
      <c r="P23" s="37">
        <v>0</v>
      </c>
      <c r="Q23" s="37">
        <v>15000</v>
      </c>
      <c r="R23" s="37">
        <v>0</v>
      </c>
      <c r="S23" s="37">
        <v>15000</v>
      </c>
      <c r="T23" s="37">
        <v>0</v>
      </c>
      <c r="U23" s="36">
        <v>15000</v>
      </c>
      <c r="V23" s="36">
        <v>15000</v>
      </c>
      <c r="W23" s="2"/>
    </row>
    <row r="24" spans="1:23" ht="33.75" customHeight="1" outlineLevel="5">
      <c r="A24" s="29" t="s">
        <v>201</v>
      </c>
      <c r="B24" s="30" t="s">
        <v>3</v>
      </c>
      <c r="C24" s="30" t="s">
        <v>8</v>
      </c>
      <c r="D24" s="30" t="s">
        <v>19</v>
      </c>
      <c r="E24" s="30" t="s">
        <v>23</v>
      </c>
      <c r="F24" s="30" t="s">
        <v>15</v>
      </c>
      <c r="G24" s="30" t="s">
        <v>6</v>
      </c>
      <c r="H24" s="30"/>
      <c r="I24" s="30"/>
      <c r="J24" s="30"/>
      <c r="K24" s="30"/>
      <c r="L24" s="30"/>
      <c r="M24" s="30"/>
      <c r="N24" s="36">
        <f>N25</f>
        <v>3700</v>
      </c>
      <c r="O24" s="37">
        <v>15000</v>
      </c>
      <c r="P24" s="37">
        <v>0</v>
      </c>
      <c r="Q24" s="37">
        <v>15000</v>
      </c>
      <c r="R24" s="37">
        <v>0</v>
      </c>
      <c r="S24" s="37">
        <v>15000</v>
      </c>
      <c r="T24" s="37">
        <v>0</v>
      </c>
      <c r="U24" s="36">
        <v>15000</v>
      </c>
      <c r="V24" s="36">
        <v>15000</v>
      </c>
      <c r="W24" s="2"/>
    </row>
    <row r="25" spans="1:23" ht="30" outlineLevel="5">
      <c r="A25" s="29" t="s">
        <v>150</v>
      </c>
      <c r="B25" s="30" t="s">
        <v>3</v>
      </c>
      <c r="C25" s="30" t="s">
        <v>8</v>
      </c>
      <c r="D25" s="30" t="s">
        <v>19</v>
      </c>
      <c r="E25" s="30" t="s">
        <v>23</v>
      </c>
      <c r="F25" s="30" t="s">
        <v>15</v>
      </c>
      <c r="G25" s="30"/>
      <c r="H25" s="30" t="s">
        <v>149</v>
      </c>
      <c r="I25" s="30"/>
      <c r="J25" s="30"/>
      <c r="K25" s="30"/>
      <c r="L25" s="30"/>
      <c r="M25" s="30"/>
      <c r="N25" s="36">
        <v>3700</v>
      </c>
      <c r="O25" s="37"/>
      <c r="P25" s="37"/>
      <c r="Q25" s="37"/>
      <c r="R25" s="37"/>
      <c r="S25" s="37"/>
      <c r="T25" s="37"/>
      <c r="U25" s="36">
        <v>15000</v>
      </c>
      <c r="V25" s="36">
        <v>15000</v>
      </c>
      <c r="W25" s="2"/>
    </row>
    <row r="26" spans="1:23" ht="30" outlineLevel="3">
      <c r="A26" s="29" t="s">
        <v>200</v>
      </c>
      <c r="B26" s="30" t="s">
        <v>3</v>
      </c>
      <c r="C26" s="30" t="s">
        <v>8</v>
      </c>
      <c r="D26" s="30" t="s">
        <v>19</v>
      </c>
      <c r="E26" s="30" t="s">
        <v>25</v>
      </c>
      <c r="F26" s="30" t="s">
        <v>6</v>
      </c>
      <c r="G26" s="30" t="s">
        <v>6</v>
      </c>
      <c r="H26" s="30"/>
      <c r="I26" s="30"/>
      <c r="J26" s="30"/>
      <c r="K26" s="30"/>
      <c r="L26" s="30"/>
      <c r="M26" s="30"/>
      <c r="N26" s="36">
        <f>N27</f>
        <v>2300</v>
      </c>
      <c r="O26" s="37">
        <v>5800</v>
      </c>
      <c r="P26" s="37">
        <v>0</v>
      </c>
      <c r="Q26" s="37">
        <v>5800</v>
      </c>
      <c r="R26" s="37">
        <v>0</v>
      </c>
      <c r="S26" s="37">
        <v>5800</v>
      </c>
      <c r="T26" s="37">
        <v>0</v>
      </c>
      <c r="U26" s="36">
        <v>5800</v>
      </c>
      <c r="V26" s="36">
        <v>5800</v>
      </c>
      <c r="W26" s="2"/>
    </row>
    <row r="27" spans="1:23" ht="21" customHeight="1" outlineLevel="5">
      <c r="A27" s="29" t="s">
        <v>203</v>
      </c>
      <c r="B27" s="30" t="s">
        <v>3</v>
      </c>
      <c r="C27" s="30" t="s">
        <v>8</v>
      </c>
      <c r="D27" s="30" t="s">
        <v>19</v>
      </c>
      <c r="E27" s="30" t="s">
        <v>25</v>
      </c>
      <c r="F27" s="30" t="s">
        <v>26</v>
      </c>
      <c r="G27" s="30" t="s">
        <v>6</v>
      </c>
      <c r="H27" s="30"/>
      <c r="I27" s="30"/>
      <c r="J27" s="30"/>
      <c r="K27" s="30"/>
      <c r="L27" s="30"/>
      <c r="M27" s="30"/>
      <c r="N27" s="36">
        <v>2300</v>
      </c>
      <c r="O27" s="37">
        <v>5800</v>
      </c>
      <c r="P27" s="37">
        <v>0</v>
      </c>
      <c r="Q27" s="37">
        <v>5800</v>
      </c>
      <c r="R27" s="37">
        <v>0</v>
      </c>
      <c r="S27" s="37">
        <v>5800</v>
      </c>
      <c r="T27" s="37">
        <v>0</v>
      </c>
      <c r="U27" s="36">
        <v>5800</v>
      </c>
      <c r="V27" s="36">
        <v>5800</v>
      </c>
      <c r="W27" s="2"/>
    </row>
    <row r="28" spans="1:23" ht="42.75">
      <c r="A28" s="31" t="s">
        <v>27</v>
      </c>
      <c r="B28" s="30" t="s">
        <v>28</v>
      </c>
      <c r="C28" s="30" t="s">
        <v>4</v>
      </c>
      <c r="D28" s="30" t="s">
        <v>4</v>
      </c>
      <c r="E28" s="30" t="s">
        <v>5</v>
      </c>
      <c r="F28" s="30" t="s">
        <v>6</v>
      </c>
      <c r="G28" s="30" t="s">
        <v>6</v>
      </c>
      <c r="H28" s="30"/>
      <c r="I28" s="30"/>
      <c r="J28" s="30"/>
      <c r="K28" s="30"/>
      <c r="L28" s="30"/>
      <c r="M28" s="30"/>
      <c r="N28" s="44">
        <f>N29+N115+N123+N135+N172+N244+N254+N268+N277+N236</f>
        <v>398658759.78000009</v>
      </c>
      <c r="O28" s="44">
        <f>O29+O115+O123+O135+O172+O244+O254+O268+O277+O236</f>
        <v>41138253.189999998</v>
      </c>
      <c r="P28" s="44">
        <f>P29+P115+P123+P135+P172+P244+P254+P268+P277+P236</f>
        <v>0</v>
      </c>
      <c r="Q28" s="44">
        <f>Q29+Q115+Q123+Q135+Q172+Q244+Q254+Q268+Q277+Q236</f>
        <v>41138253.189999998</v>
      </c>
      <c r="R28" s="44">
        <f>R29+R115+R123+R135+R172+R244+R254+R268+R277+R236</f>
        <v>0</v>
      </c>
      <c r="S28" s="44">
        <f>S29+S115+S123+S135+S172+S244+S254+S268+S277+S236</f>
        <v>41138253.189999998</v>
      </c>
      <c r="T28" s="44">
        <f>T29+T115+T123+T135+T172+T244+T254+T268+T277+T236</f>
        <v>0</v>
      </c>
      <c r="U28" s="44">
        <f>U29+U115+U123+U135+U172+U244+U254+U268+U277+U236</f>
        <v>84525280.799999997</v>
      </c>
      <c r="V28" s="44">
        <f>V29+V115+V123+V135+V172+V244+V254+V268+V277+V236</f>
        <v>82547331.280000001</v>
      </c>
      <c r="W28" s="2"/>
    </row>
    <row r="29" spans="1:23" outlineLevel="1">
      <c r="A29" s="29" t="s">
        <v>7</v>
      </c>
      <c r="B29" s="30" t="s">
        <v>28</v>
      </c>
      <c r="C29" s="30" t="s">
        <v>8</v>
      </c>
      <c r="D29" s="30" t="s">
        <v>4</v>
      </c>
      <c r="E29" s="30" t="s">
        <v>5</v>
      </c>
      <c r="F29" s="30" t="s">
        <v>6</v>
      </c>
      <c r="G29" s="30" t="s">
        <v>6</v>
      </c>
      <c r="H29" s="30"/>
      <c r="I29" s="30"/>
      <c r="J29" s="30"/>
      <c r="K29" s="30"/>
      <c r="L29" s="30"/>
      <c r="M29" s="30"/>
      <c r="N29" s="36">
        <f>N30+N33+N68+N71</f>
        <v>19384657.66</v>
      </c>
      <c r="O29" s="36">
        <f t="shared" ref="O29:V29" si="8">O30+O33+O68+O71</f>
        <v>9541734</v>
      </c>
      <c r="P29" s="36">
        <f t="shared" si="8"/>
        <v>0</v>
      </c>
      <c r="Q29" s="36">
        <f t="shared" si="8"/>
        <v>9541734</v>
      </c>
      <c r="R29" s="36">
        <f t="shared" si="8"/>
        <v>0</v>
      </c>
      <c r="S29" s="36">
        <f t="shared" si="8"/>
        <v>9541734</v>
      </c>
      <c r="T29" s="36">
        <f t="shared" si="8"/>
        <v>0</v>
      </c>
      <c r="U29" s="36">
        <f t="shared" si="8"/>
        <v>16410195.43</v>
      </c>
      <c r="V29" s="36">
        <f t="shared" si="8"/>
        <v>16410209.949999999</v>
      </c>
      <c r="W29" s="2"/>
    </row>
    <row r="30" spans="1:23" ht="45" outlineLevel="2">
      <c r="A30" s="29" t="s">
        <v>29</v>
      </c>
      <c r="B30" s="30" t="s">
        <v>28</v>
      </c>
      <c r="C30" s="30" t="s">
        <v>8</v>
      </c>
      <c r="D30" s="30" t="s">
        <v>30</v>
      </c>
      <c r="E30" s="30" t="s">
        <v>5</v>
      </c>
      <c r="F30" s="30" t="s">
        <v>6</v>
      </c>
      <c r="G30" s="30" t="s">
        <v>6</v>
      </c>
      <c r="H30" s="30"/>
      <c r="I30" s="30"/>
      <c r="J30" s="30"/>
      <c r="K30" s="30"/>
      <c r="L30" s="30"/>
      <c r="M30" s="30"/>
      <c r="N30" s="36">
        <f>N31</f>
        <v>656000</v>
      </c>
      <c r="O30" s="36">
        <f t="shared" ref="O30:V30" si="9">O31</f>
        <v>884690</v>
      </c>
      <c r="P30" s="36">
        <f t="shared" si="9"/>
        <v>0</v>
      </c>
      <c r="Q30" s="36">
        <f t="shared" si="9"/>
        <v>884690</v>
      </c>
      <c r="R30" s="36">
        <f t="shared" si="9"/>
        <v>0</v>
      </c>
      <c r="S30" s="36">
        <f t="shared" si="9"/>
        <v>884690</v>
      </c>
      <c r="T30" s="36">
        <f t="shared" si="9"/>
        <v>0</v>
      </c>
      <c r="U30" s="36">
        <f t="shared" si="9"/>
        <v>921863</v>
      </c>
      <c r="V30" s="36">
        <f t="shared" si="9"/>
        <v>921863</v>
      </c>
      <c r="W30" s="2"/>
    </row>
    <row r="31" spans="1:23" ht="30" outlineLevel="3">
      <c r="A31" s="29" t="s">
        <v>31</v>
      </c>
      <c r="B31" s="30" t="s">
        <v>28</v>
      </c>
      <c r="C31" s="30" t="s">
        <v>8</v>
      </c>
      <c r="D31" s="30" t="s">
        <v>30</v>
      </c>
      <c r="E31" s="30" t="s">
        <v>32</v>
      </c>
      <c r="F31" s="30" t="s">
        <v>6</v>
      </c>
      <c r="G31" s="30" t="s">
        <v>6</v>
      </c>
      <c r="H31" s="30"/>
      <c r="I31" s="30"/>
      <c r="J31" s="30"/>
      <c r="K31" s="30"/>
      <c r="L31" s="30"/>
      <c r="M31" s="30"/>
      <c r="N31" s="36">
        <f>N32</f>
        <v>656000</v>
      </c>
      <c r="O31" s="36">
        <f t="shared" ref="O31:V31" si="10">O32</f>
        <v>884690</v>
      </c>
      <c r="P31" s="36">
        <f t="shared" si="10"/>
        <v>0</v>
      </c>
      <c r="Q31" s="36">
        <f t="shared" si="10"/>
        <v>884690</v>
      </c>
      <c r="R31" s="36">
        <f t="shared" si="10"/>
        <v>0</v>
      </c>
      <c r="S31" s="36">
        <f t="shared" si="10"/>
        <v>884690</v>
      </c>
      <c r="T31" s="36">
        <f t="shared" si="10"/>
        <v>0</v>
      </c>
      <c r="U31" s="36">
        <f t="shared" si="10"/>
        <v>921863</v>
      </c>
      <c r="V31" s="36">
        <f t="shared" si="10"/>
        <v>921863</v>
      </c>
      <c r="W31" s="2"/>
    </row>
    <row r="32" spans="1:23" ht="75" outlineLevel="5">
      <c r="A32" s="29" t="s">
        <v>11</v>
      </c>
      <c r="B32" s="30" t="s">
        <v>28</v>
      </c>
      <c r="C32" s="30" t="s">
        <v>8</v>
      </c>
      <c r="D32" s="30" t="s">
        <v>30</v>
      </c>
      <c r="E32" s="30" t="s">
        <v>32</v>
      </c>
      <c r="F32" s="30" t="s">
        <v>12</v>
      </c>
      <c r="G32" s="30" t="s">
        <v>6</v>
      </c>
      <c r="H32" s="30"/>
      <c r="I32" s="30"/>
      <c r="J32" s="30"/>
      <c r="K32" s="30"/>
      <c r="L32" s="30"/>
      <c r="M32" s="30"/>
      <c r="N32" s="36">
        <v>656000</v>
      </c>
      <c r="O32" s="37">
        <v>884690</v>
      </c>
      <c r="P32" s="37">
        <v>0</v>
      </c>
      <c r="Q32" s="37">
        <v>884690</v>
      </c>
      <c r="R32" s="37">
        <v>0</v>
      </c>
      <c r="S32" s="37">
        <v>884690</v>
      </c>
      <c r="T32" s="37">
        <v>0</v>
      </c>
      <c r="U32" s="36">
        <v>921863</v>
      </c>
      <c r="V32" s="36">
        <v>921863</v>
      </c>
      <c r="W32" s="2"/>
    </row>
    <row r="33" spans="1:23" ht="60" outlineLevel="2">
      <c r="A33" s="29" t="s">
        <v>33</v>
      </c>
      <c r="B33" s="30" t="s">
        <v>28</v>
      </c>
      <c r="C33" s="30" t="s">
        <v>8</v>
      </c>
      <c r="D33" s="30" t="s">
        <v>34</v>
      </c>
      <c r="E33" s="30" t="s">
        <v>5</v>
      </c>
      <c r="F33" s="30" t="s">
        <v>6</v>
      </c>
      <c r="G33" s="30" t="s">
        <v>6</v>
      </c>
      <c r="H33" s="30"/>
      <c r="I33" s="30"/>
      <c r="J33" s="30"/>
      <c r="K33" s="30"/>
      <c r="L33" s="30"/>
      <c r="M33" s="30"/>
      <c r="N33" s="36">
        <f>N34+N41+N54+N56+N58+N60+N62+N64+N66</f>
        <v>13215980</v>
      </c>
      <c r="O33" s="36">
        <f t="shared" ref="O33:V33" si="11">O34+O41+O54+O56+O58+O60+O62+O64+O66</f>
        <v>8447052</v>
      </c>
      <c r="P33" s="36">
        <f t="shared" si="11"/>
        <v>0</v>
      </c>
      <c r="Q33" s="36">
        <f t="shared" si="11"/>
        <v>8447052</v>
      </c>
      <c r="R33" s="36">
        <f t="shared" si="11"/>
        <v>0</v>
      </c>
      <c r="S33" s="36">
        <f t="shared" si="11"/>
        <v>8447052</v>
      </c>
      <c r="T33" s="36">
        <f t="shared" si="11"/>
        <v>0</v>
      </c>
      <c r="U33" s="36">
        <f t="shared" si="11"/>
        <v>11461065.369999999</v>
      </c>
      <c r="V33" s="36">
        <f t="shared" si="11"/>
        <v>11461079.890000001</v>
      </c>
      <c r="W33" s="2"/>
    </row>
    <row r="34" spans="1:23" ht="60" outlineLevel="3">
      <c r="A34" s="29" t="s">
        <v>35</v>
      </c>
      <c r="B34" s="30" t="s">
        <v>28</v>
      </c>
      <c r="C34" s="30" t="s">
        <v>8</v>
      </c>
      <c r="D34" s="30" t="s">
        <v>34</v>
      </c>
      <c r="E34" s="30" t="s">
        <v>36</v>
      </c>
      <c r="F34" s="30" t="s">
        <v>6</v>
      </c>
      <c r="G34" s="30" t="s">
        <v>6</v>
      </c>
      <c r="H34" s="30"/>
      <c r="I34" s="30"/>
      <c r="J34" s="30"/>
      <c r="K34" s="30"/>
      <c r="L34" s="30"/>
      <c r="M34" s="30"/>
      <c r="N34" s="36">
        <f>N35</f>
        <v>206650</v>
      </c>
      <c r="O34" s="36">
        <f t="shared" ref="O34:V34" si="12">O35</f>
        <v>0</v>
      </c>
      <c r="P34" s="36">
        <f t="shared" si="12"/>
        <v>0</v>
      </c>
      <c r="Q34" s="36">
        <f t="shared" si="12"/>
        <v>0</v>
      </c>
      <c r="R34" s="36">
        <f t="shared" si="12"/>
        <v>0</v>
      </c>
      <c r="S34" s="36">
        <f t="shared" si="12"/>
        <v>0</v>
      </c>
      <c r="T34" s="36">
        <f t="shared" si="12"/>
        <v>0</v>
      </c>
      <c r="U34" s="36">
        <f t="shared" si="12"/>
        <v>286250</v>
      </c>
      <c r="V34" s="36">
        <f t="shared" si="12"/>
        <v>286250</v>
      </c>
      <c r="W34" s="2"/>
    </row>
    <row r="35" spans="1:23" ht="30.75" customHeight="1" outlineLevel="5">
      <c r="A35" s="29" t="s">
        <v>14</v>
      </c>
      <c r="B35" s="30" t="s">
        <v>28</v>
      </c>
      <c r="C35" s="30" t="s">
        <v>8</v>
      </c>
      <c r="D35" s="30" t="s">
        <v>34</v>
      </c>
      <c r="E35" s="30" t="s">
        <v>36</v>
      </c>
      <c r="F35" s="30" t="s">
        <v>15</v>
      </c>
      <c r="G35" s="30" t="s">
        <v>6</v>
      </c>
      <c r="H35" s="30"/>
      <c r="I35" s="30"/>
      <c r="J35" s="30"/>
      <c r="K35" s="30"/>
      <c r="L35" s="30"/>
      <c r="M35" s="30"/>
      <c r="N35" s="36">
        <f>SUM(N36:N40)</f>
        <v>206650</v>
      </c>
      <c r="O35" s="36">
        <f t="shared" ref="O35:V35" si="13">SUM(O36:O40)</f>
        <v>0</v>
      </c>
      <c r="P35" s="36">
        <f t="shared" si="13"/>
        <v>0</v>
      </c>
      <c r="Q35" s="36">
        <f t="shared" si="13"/>
        <v>0</v>
      </c>
      <c r="R35" s="36">
        <f t="shared" si="13"/>
        <v>0</v>
      </c>
      <c r="S35" s="36">
        <f t="shared" si="13"/>
        <v>0</v>
      </c>
      <c r="T35" s="36">
        <f t="shared" si="13"/>
        <v>0</v>
      </c>
      <c r="U35" s="36">
        <f t="shared" si="13"/>
        <v>286250</v>
      </c>
      <c r="V35" s="36">
        <f t="shared" si="13"/>
        <v>286250</v>
      </c>
      <c r="W35" s="2"/>
    </row>
    <row r="36" spans="1:23" outlineLevel="5">
      <c r="A36" s="29" t="s">
        <v>144</v>
      </c>
      <c r="B36" s="30" t="s">
        <v>28</v>
      </c>
      <c r="C36" s="30" t="s">
        <v>8</v>
      </c>
      <c r="D36" s="30" t="s">
        <v>34</v>
      </c>
      <c r="E36" s="30" t="s">
        <v>36</v>
      </c>
      <c r="F36" s="30" t="s">
        <v>15</v>
      </c>
      <c r="G36" s="30"/>
      <c r="H36" s="30" t="s">
        <v>138</v>
      </c>
      <c r="I36" s="30"/>
      <c r="J36" s="30"/>
      <c r="K36" s="30"/>
      <c r="L36" s="30"/>
      <c r="M36" s="30"/>
      <c r="N36" s="36">
        <f>96350+1750</f>
        <v>98100</v>
      </c>
      <c r="O36" s="37"/>
      <c r="P36" s="37"/>
      <c r="Q36" s="37"/>
      <c r="R36" s="37"/>
      <c r="S36" s="37"/>
      <c r="T36" s="37"/>
      <c r="U36" s="36">
        <v>96350</v>
      </c>
      <c r="V36" s="36">
        <v>96350</v>
      </c>
      <c r="W36" s="2"/>
    </row>
    <row r="37" spans="1:23" outlineLevel="5">
      <c r="A37" s="29" t="s">
        <v>145</v>
      </c>
      <c r="B37" s="30" t="s">
        <v>28</v>
      </c>
      <c r="C37" s="30" t="s">
        <v>8</v>
      </c>
      <c r="D37" s="30" t="s">
        <v>34</v>
      </c>
      <c r="E37" s="30" t="s">
        <v>36</v>
      </c>
      <c r="F37" s="30" t="s">
        <v>15</v>
      </c>
      <c r="G37" s="30"/>
      <c r="H37" s="30" t="s">
        <v>139</v>
      </c>
      <c r="I37" s="30"/>
      <c r="J37" s="30"/>
      <c r="K37" s="30"/>
      <c r="L37" s="30"/>
      <c r="M37" s="30"/>
      <c r="N37" s="36">
        <f>49000+14800</f>
        <v>63800</v>
      </c>
      <c r="O37" s="37"/>
      <c r="P37" s="37"/>
      <c r="Q37" s="37"/>
      <c r="R37" s="37"/>
      <c r="S37" s="37"/>
      <c r="T37" s="37"/>
      <c r="U37" s="36">
        <v>49000</v>
      </c>
      <c r="V37" s="36">
        <v>49000</v>
      </c>
      <c r="W37" s="2"/>
    </row>
    <row r="38" spans="1:23" outlineLevel="5">
      <c r="A38" s="29" t="s">
        <v>146</v>
      </c>
      <c r="B38" s="30" t="s">
        <v>28</v>
      </c>
      <c r="C38" s="30" t="s">
        <v>8</v>
      </c>
      <c r="D38" s="30" t="s">
        <v>34</v>
      </c>
      <c r="E38" s="30" t="s">
        <v>36</v>
      </c>
      <c r="F38" s="30" t="s">
        <v>15</v>
      </c>
      <c r="G38" s="30"/>
      <c r="H38" s="30" t="s">
        <v>140</v>
      </c>
      <c r="I38" s="30"/>
      <c r="J38" s="30"/>
      <c r="K38" s="30"/>
      <c r="L38" s="30"/>
      <c r="M38" s="30"/>
      <c r="N38" s="36">
        <v>5200</v>
      </c>
      <c r="O38" s="37"/>
      <c r="P38" s="37"/>
      <c r="Q38" s="37"/>
      <c r="R38" s="37"/>
      <c r="S38" s="37"/>
      <c r="T38" s="37"/>
      <c r="U38" s="36">
        <v>5200</v>
      </c>
      <c r="V38" s="36">
        <v>5200</v>
      </c>
      <c r="W38" s="2"/>
    </row>
    <row r="39" spans="1:23" outlineLevel="5">
      <c r="A39" s="29" t="s">
        <v>199</v>
      </c>
      <c r="B39" s="30" t="s">
        <v>28</v>
      </c>
      <c r="C39" s="30" t="s">
        <v>8</v>
      </c>
      <c r="D39" s="30" t="s">
        <v>34</v>
      </c>
      <c r="E39" s="30" t="s">
        <v>36</v>
      </c>
      <c r="F39" s="30" t="s">
        <v>15</v>
      </c>
      <c r="G39" s="30"/>
      <c r="H39" s="30" t="s">
        <v>143</v>
      </c>
      <c r="I39" s="30"/>
      <c r="J39" s="30"/>
      <c r="K39" s="30"/>
      <c r="L39" s="30"/>
      <c r="M39" s="30"/>
      <c r="N39" s="36">
        <f>56100-1750-14800</f>
        <v>39550</v>
      </c>
      <c r="O39" s="37"/>
      <c r="P39" s="37"/>
      <c r="Q39" s="37"/>
      <c r="R39" s="37"/>
      <c r="S39" s="37"/>
      <c r="T39" s="37"/>
      <c r="U39" s="36">
        <v>56100</v>
      </c>
      <c r="V39" s="36">
        <v>56100</v>
      </c>
      <c r="W39" s="2"/>
    </row>
    <row r="40" spans="1:23" ht="30" outlineLevel="5">
      <c r="A40" s="29" t="s">
        <v>232</v>
      </c>
      <c r="B40" s="30" t="s">
        <v>28</v>
      </c>
      <c r="C40" s="30" t="s">
        <v>8</v>
      </c>
      <c r="D40" s="30" t="s">
        <v>34</v>
      </c>
      <c r="E40" s="30" t="s">
        <v>36</v>
      </c>
      <c r="F40" s="30" t="s">
        <v>15</v>
      </c>
      <c r="G40" s="30"/>
      <c r="H40" s="30" t="s">
        <v>231</v>
      </c>
      <c r="I40" s="30"/>
      <c r="J40" s="30"/>
      <c r="K40" s="30"/>
      <c r="L40" s="30"/>
      <c r="M40" s="30"/>
      <c r="N40" s="36">
        <f>79600-79600</f>
        <v>0</v>
      </c>
      <c r="O40" s="37"/>
      <c r="P40" s="37"/>
      <c r="Q40" s="37"/>
      <c r="R40" s="37"/>
      <c r="S40" s="37"/>
      <c r="T40" s="37"/>
      <c r="U40" s="36">
        <v>79600</v>
      </c>
      <c r="V40" s="36">
        <v>79600</v>
      </c>
      <c r="W40" s="2"/>
    </row>
    <row r="41" spans="1:23" ht="30" outlineLevel="3">
      <c r="A41" s="29" t="s">
        <v>202</v>
      </c>
      <c r="B41" s="30" t="s">
        <v>28</v>
      </c>
      <c r="C41" s="30" t="s">
        <v>8</v>
      </c>
      <c r="D41" s="30" t="s">
        <v>34</v>
      </c>
      <c r="E41" s="30" t="s">
        <v>37</v>
      </c>
      <c r="F41" s="30" t="s">
        <v>6</v>
      </c>
      <c r="G41" s="30" t="s">
        <v>6</v>
      </c>
      <c r="H41" s="30"/>
      <c r="I41" s="30"/>
      <c r="J41" s="30"/>
      <c r="K41" s="30"/>
      <c r="L41" s="30"/>
      <c r="M41" s="30"/>
      <c r="N41" s="36">
        <f>N42+N43+N53+N52</f>
        <v>11997790</v>
      </c>
      <c r="O41" s="36">
        <f t="shared" ref="O41:V41" si="14">O42+O43+O53+O52</f>
        <v>7523152</v>
      </c>
      <c r="P41" s="36">
        <f t="shared" si="14"/>
        <v>0</v>
      </c>
      <c r="Q41" s="36">
        <f t="shared" si="14"/>
        <v>7523152</v>
      </c>
      <c r="R41" s="36">
        <f t="shared" si="14"/>
        <v>0</v>
      </c>
      <c r="S41" s="36">
        <f t="shared" si="14"/>
        <v>7523152</v>
      </c>
      <c r="T41" s="36">
        <f t="shared" si="14"/>
        <v>0</v>
      </c>
      <c r="U41" s="36">
        <f t="shared" si="14"/>
        <v>10221425.369999999</v>
      </c>
      <c r="V41" s="36">
        <f t="shared" si="14"/>
        <v>10221439.890000001</v>
      </c>
      <c r="W41" s="2"/>
    </row>
    <row r="42" spans="1:23" ht="75" outlineLevel="5">
      <c r="A42" s="29" t="s">
        <v>11</v>
      </c>
      <c r="B42" s="30" t="s">
        <v>28</v>
      </c>
      <c r="C42" s="30" t="s">
        <v>8</v>
      </c>
      <c r="D42" s="30" t="s">
        <v>34</v>
      </c>
      <c r="E42" s="30" t="s">
        <v>37</v>
      </c>
      <c r="F42" s="30" t="s">
        <v>12</v>
      </c>
      <c r="G42" s="30" t="s">
        <v>6</v>
      </c>
      <c r="H42" s="30"/>
      <c r="I42" s="30"/>
      <c r="J42" s="30"/>
      <c r="K42" s="30"/>
      <c r="L42" s="30"/>
      <c r="M42" s="30"/>
      <c r="N42" s="36">
        <f>7626716+3800+2303627</f>
        <v>9934143</v>
      </c>
      <c r="O42" s="37">
        <v>6834712</v>
      </c>
      <c r="P42" s="37">
        <v>0</v>
      </c>
      <c r="Q42" s="37">
        <v>6834712</v>
      </c>
      <c r="R42" s="37">
        <v>0</v>
      </c>
      <c r="S42" s="37">
        <v>6834712</v>
      </c>
      <c r="T42" s="37">
        <v>0</v>
      </c>
      <c r="U42" s="36">
        <v>8128460</v>
      </c>
      <c r="V42" s="36">
        <v>8128460</v>
      </c>
      <c r="W42" s="2"/>
    </row>
    <row r="43" spans="1:23" ht="30" customHeight="1" outlineLevel="5">
      <c r="A43" s="29" t="s">
        <v>14</v>
      </c>
      <c r="B43" s="30" t="s">
        <v>28</v>
      </c>
      <c r="C43" s="30" t="s">
        <v>8</v>
      </c>
      <c r="D43" s="30" t="s">
        <v>34</v>
      </c>
      <c r="E43" s="30" t="s">
        <v>37</v>
      </c>
      <c r="F43" s="30" t="s">
        <v>15</v>
      </c>
      <c r="G43" s="30" t="s">
        <v>6</v>
      </c>
      <c r="H43" s="30"/>
      <c r="I43" s="30"/>
      <c r="J43" s="30"/>
      <c r="K43" s="30"/>
      <c r="L43" s="30"/>
      <c r="M43" s="30"/>
      <c r="N43" s="36">
        <f>SUM(N44:N51)</f>
        <v>1344402</v>
      </c>
      <c r="O43" s="36">
        <f t="shared" ref="O43:V43" si="15">SUM(O44:O51)</f>
        <v>0</v>
      </c>
      <c r="P43" s="36">
        <f t="shared" si="15"/>
        <v>0</v>
      </c>
      <c r="Q43" s="36">
        <f t="shared" si="15"/>
        <v>0</v>
      </c>
      <c r="R43" s="36">
        <f t="shared" si="15"/>
        <v>0</v>
      </c>
      <c r="S43" s="36">
        <f t="shared" si="15"/>
        <v>0</v>
      </c>
      <c r="T43" s="36">
        <f t="shared" si="15"/>
        <v>0</v>
      </c>
      <c r="U43" s="36">
        <f>SUM(U44:U51)</f>
        <v>1379775.3699999999</v>
      </c>
      <c r="V43" s="36">
        <f t="shared" si="15"/>
        <v>1379789.89</v>
      </c>
      <c r="W43" s="2"/>
    </row>
    <row r="44" spans="1:23" ht="18" customHeight="1" outlineLevel="5">
      <c r="A44" s="29" t="s">
        <v>144</v>
      </c>
      <c r="B44" s="30" t="s">
        <v>28</v>
      </c>
      <c r="C44" s="30" t="s">
        <v>8</v>
      </c>
      <c r="D44" s="30" t="s">
        <v>34</v>
      </c>
      <c r="E44" s="30" t="s">
        <v>37</v>
      </c>
      <c r="F44" s="30" t="s">
        <v>15</v>
      </c>
      <c r="G44" s="30"/>
      <c r="H44" s="30" t="s">
        <v>138</v>
      </c>
      <c r="I44" s="30"/>
      <c r="J44" s="30"/>
      <c r="K44" s="30"/>
      <c r="L44" s="30"/>
      <c r="M44" s="30"/>
      <c r="N44" s="36">
        <f>40400+402+1000+3050</f>
        <v>44852</v>
      </c>
      <c r="O44" s="37"/>
      <c r="P44" s="37"/>
      <c r="Q44" s="37"/>
      <c r="R44" s="37"/>
      <c r="S44" s="37"/>
      <c r="T44" s="37"/>
      <c r="U44" s="36">
        <v>40600</v>
      </c>
      <c r="V44" s="36">
        <v>40800</v>
      </c>
      <c r="W44" s="2"/>
    </row>
    <row r="45" spans="1:23" ht="18" customHeight="1" outlineLevel="5">
      <c r="A45" s="29" t="s">
        <v>152</v>
      </c>
      <c r="B45" s="30" t="s">
        <v>28</v>
      </c>
      <c r="C45" s="30" t="s">
        <v>8</v>
      </c>
      <c r="D45" s="30" t="s">
        <v>34</v>
      </c>
      <c r="E45" s="30" t="s">
        <v>37</v>
      </c>
      <c r="F45" s="30" t="s">
        <v>15</v>
      </c>
      <c r="G45" s="30"/>
      <c r="H45" s="30" t="s">
        <v>151</v>
      </c>
      <c r="I45" s="30"/>
      <c r="J45" s="30"/>
      <c r="K45" s="30"/>
      <c r="L45" s="30"/>
      <c r="M45" s="30"/>
      <c r="N45" s="36">
        <f>10510.71+479531.72+21115</f>
        <v>511157.43</v>
      </c>
      <c r="O45" s="37"/>
      <c r="P45" s="37"/>
      <c r="Q45" s="37"/>
      <c r="R45" s="37"/>
      <c r="S45" s="37"/>
      <c r="T45" s="37"/>
      <c r="U45" s="36">
        <f>10510.71+479531.72</f>
        <v>490042.43</v>
      </c>
      <c r="V45" s="36">
        <f>10510.71+479531.72</f>
        <v>490042.43</v>
      </c>
      <c r="W45" s="2"/>
    </row>
    <row r="46" spans="1:23" ht="18" customHeight="1" outlineLevel="5">
      <c r="A46" s="29" t="s">
        <v>145</v>
      </c>
      <c r="B46" s="30" t="s">
        <v>28</v>
      </c>
      <c r="C46" s="30" t="s">
        <v>8</v>
      </c>
      <c r="D46" s="30" t="s">
        <v>34</v>
      </c>
      <c r="E46" s="30" t="s">
        <v>37</v>
      </c>
      <c r="F46" s="30" t="s">
        <v>15</v>
      </c>
      <c r="G46" s="30"/>
      <c r="H46" s="30" t="s">
        <v>139</v>
      </c>
      <c r="I46" s="30"/>
      <c r="J46" s="30"/>
      <c r="K46" s="30"/>
      <c r="L46" s="30"/>
      <c r="M46" s="30"/>
      <c r="N46" s="36">
        <f>907591.55-219900-205800-402-309300-21115-3050</f>
        <v>148024.55000000005</v>
      </c>
      <c r="O46" s="37"/>
      <c r="P46" s="37"/>
      <c r="Q46" s="37"/>
      <c r="R46" s="37"/>
      <c r="S46" s="37"/>
      <c r="T46" s="37"/>
      <c r="U46" s="36">
        <v>169882.43</v>
      </c>
      <c r="V46" s="36">
        <v>169882.43</v>
      </c>
      <c r="W46" s="2"/>
    </row>
    <row r="47" spans="1:23" ht="18" customHeight="1" outlineLevel="5">
      <c r="A47" s="29" t="s">
        <v>146</v>
      </c>
      <c r="B47" s="30" t="s">
        <v>28</v>
      </c>
      <c r="C47" s="30" t="s">
        <v>8</v>
      </c>
      <c r="D47" s="30" t="s">
        <v>34</v>
      </c>
      <c r="E47" s="30" t="s">
        <v>37</v>
      </c>
      <c r="F47" s="30" t="s">
        <v>15</v>
      </c>
      <c r="G47" s="30"/>
      <c r="H47" s="30" t="s">
        <v>140</v>
      </c>
      <c r="I47" s="30"/>
      <c r="J47" s="30"/>
      <c r="K47" s="30"/>
      <c r="L47" s="30"/>
      <c r="M47" s="30"/>
      <c r="N47" s="36">
        <v>87843</v>
      </c>
      <c r="O47" s="37"/>
      <c r="P47" s="37"/>
      <c r="Q47" s="37"/>
      <c r="R47" s="37"/>
      <c r="S47" s="37"/>
      <c r="T47" s="37"/>
      <c r="U47" s="36">
        <v>87843</v>
      </c>
      <c r="V47" s="36">
        <v>87843</v>
      </c>
      <c r="W47" s="2"/>
    </row>
    <row r="48" spans="1:23" ht="18" customHeight="1" outlineLevel="5">
      <c r="A48" s="29" t="s">
        <v>147</v>
      </c>
      <c r="B48" s="30" t="s">
        <v>28</v>
      </c>
      <c r="C48" s="30" t="s">
        <v>8</v>
      </c>
      <c r="D48" s="30" t="s">
        <v>34</v>
      </c>
      <c r="E48" s="30" t="s">
        <v>37</v>
      </c>
      <c r="F48" s="30" t="s">
        <v>15</v>
      </c>
      <c r="G48" s="30"/>
      <c r="H48" s="30" t="s">
        <v>141</v>
      </c>
      <c r="I48" s="30"/>
      <c r="J48" s="30"/>
      <c r="K48" s="30"/>
      <c r="L48" s="30"/>
      <c r="M48" s="30"/>
      <c r="N48" s="36">
        <f>5200-1000</f>
        <v>4200</v>
      </c>
      <c r="O48" s="37"/>
      <c r="P48" s="37"/>
      <c r="Q48" s="37"/>
      <c r="R48" s="37"/>
      <c r="S48" s="37"/>
      <c r="T48" s="37"/>
      <c r="U48" s="36">
        <v>5200</v>
      </c>
      <c r="V48" s="36">
        <v>5200</v>
      </c>
      <c r="W48" s="2"/>
    </row>
    <row r="49" spans="1:23" ht="18" customHeight="1" outlineLevel="5">
      <c r="A49" s="29" t="s">
        <v>206</v>
      </c>
      <c r="B49" s="30" t="s">
        <v>28</v>
      </c>
      <c r="C49" s="30" t="s">
        <v>8</v>
      </c>
      <c r="D49" s="30" t="s">
        <v>34</v>
      </c>
      <c r="E49" s="30" t="s">
        <v>37</v>
      </c>
      <c r="F49" s="30" t="s">
        <v>15</v>
      </c>
      <c r="G49" s="30"/>
      <c r="H49" s="30" t="s">
        <v>191</v>
      </c>
      <c r="I49" s="30"/>
      <c r="J49" s="30"/>
      <c r="K49" s="30"/>
      <c r="L49" s="30"/>
      <c r="M49" s="30"/>
      <c r="N49" s="36">
        <v>880</v>
      </c>
      <c r="O49" s="37"/>
      <c r="P49" s="37"/>
      <c r="Q49" s="37"/>
      <c r="R49" s="37"/>
      <c r="S49" s="37"/>
      <c r="T49" s="37"/>
      <c r="U49" s="36">
        <v>0</v>
      </c>
      <c r="V49" s="36">
        <v>0</v>
      </c>
      <c r="W49" s="2"/>
    </row>
    <row r="50" spans="1:23" ht="18" customHeight="1" outlineLevel="5">
      <c r="A50" s="29" t="s">
        <v>148</v>
      </c>
      <c r="B50" s="30" t="s">
        <v>28</v>
      </c>
      <c r="C50" s="30" t="s">
        <v>8</v>
      </c>
      <c r="D50" s="30" t="s">
        <v>34</v>
      </c>
      <c r="E50" s="30" t="s">
        <v>37</v>
      </c>
      <c r="F50" s="30" t="s">
        <v>15</v>
      </c>
      <c r="G50" s="30"/>
      <c r="H50" s="30" t="s">
        <v>142</v>
      </c>
      <c r="I50" s="30"/>
      <c r="J50" s="30"/>
      <c r="K50" s="30"/>
      <c r="L50" s="30"/>
      <c r="M50" s="30"/>
      <c r="N50" s="36">
        <f>412884.52-42520-42000</f>
        <v>328364.52</v>
      </c>
      <c r="O50" s="37"/>
      <c r="P50" s="37"/>
      <c r="Q50" s="37"/>
      <c r="R50" s="37"/>
      <c r="S50" s="37"/>
      <c r="T50" s="37"/>
      <c r="U50" s="36">
        <v>293866.52</v>
      </c>
      <c r="V50" s="36">
        <v>293866.52</v>
      </c>
      <c r="W50" s="2"/>
    </row>
    <row r="51" spans="1:23" ht="18" customHeight="1" outlineLevel="5">
      <c r="A51" s="29" t="s">
        <v>199</v>
      </c>
      <c r="B51" s="30" t="s">
        <v>28</v>
      </c>
      <c r="C51" s="30" t="s">
        <v>8</v>
      </c>
      <c r="D51" s="30" t="s">
        <v>34</v>
      </c>
      <c r="E51" s="30" t="s">
        <v>37</v>
      </c>
      <c r="F51" s="30" t="s">
        <v>15</v>
      </c>
      <c r="G51" s="30"/>
      <c r="H51" s="30" t="s">
        <v>143</v>
      </c>
      <c r="I51" s="30"/>
      <c r="J51" s="30"/>
      <c r="K51" s="30"/>
      <c r="L51" s="30"/>
      <c r="M51" s="30"/>
      <c r="N51" s="36">
        <f>324445.5-880-100000-9910-6055+11480</f>
        <v>219080.5</v>
      </c>
      <c r="O51" s="37"/>
      <c r="P51" s="37"/>
      <c r="Q51" s="37"/>
      <c r="R51" s="37"/>
      <c r="S51" s="37"/>
      <c r="T51" s="37"/>
      <c r="U51" s="36">
        <v>292340.99</v>
      </c>
      <c r="V51" s="36">
        <v>292155.51</v>
      </c>
      <c r="W51" s="2"/>
    </row>
    <row r="52" spans="1:23" ht="18" customHeight="1" outlineLevel="5">
      <c r="A52" s="29" t="s">
        <v>203</v>
      </c>
      <c r="B52" s="30" t="s">
        <v>28</v>
      </c>
      <c r="C52" s="30" t="s">
        <v>8</v>
      </c>
      <c r="D52" s="30" t="s">
        <v>34</v>
      </c>
      <c r="E52" s="30" t="s">
        <v>37</v>
      </c>
      <c r="F52" s="30">
        <v>300</v>
      </c>
      <c r="G52" s="30"/>
      <c r="H52" s="30"/>
      <c r="I52" s="30"/>
      <c r="J52" s="30"/>
      <c r="K52" s="30"/>
      <c r="L52" s="30"/>
      <c r="M52" s="30"/>
      <c r="N52" s="36">
        <v>2487</v>
      </c>
      <c r="O52" s="37"/>
      <c r="P52" s="37"/>
      <c r="Q52" s="37"/>
      <c r="R52" s="37"/>
      <c r="S52" s="37"/>
      <c r="T52" s="37"/>
      <c r="U52" s="36">
        <v>0</v>
      </c>
      <c r="V52" s="36">
        <v>0</v>
      </c>
      <c r="W52" s="2"/>
    </row>
    <row r="53" spans="1:23" ht="18" customHeight="1" outlineLevel="5">
      <c r="A53" s="29" t="s">
        <v>16</v>
      </c>
      <c r="B53" s="30" t="s">
        <v>28</v>
      </c>
      <c r="C53" s="30" t="s">
        <v>8</v>
      </c>
      <c r="D53" s="30" t="s">
        <v>34</v>
      </c>
      <c r="E53" s="30" t="s">
        <v>37</v>
      </c>
      <c r="F53" s="30" t="s">
        <v>17</v>
      </c>
      <c r="G53" s="30" t="s">
        <v>6</v>
      </c>
      <c r="H53" s="30"/>
      <c r="I53" s="30"/>
      <c r="J53" s="30"/>
      <c r="K53" s="30"/>
      <c r="L53" s="30"/>
      <c r="M53" s="30"/>
      <c r="N53" s="36">
        <f>713190+3568</f>
        <v>716758</v>
      </c>
      <c r="O53" s="37">
        <v>688440</v>
      </c>
      <c r="P53" s="37">
        <v>0</v>
      </c>
      <c r="Q53" s="37">
        <v>688440</v>
      </c>
      <c r="R53" s="37">
        <v>0</v>
      </c>
      <c r="S53" s="37">
        <v>688440</v>
      </c>
      <c r="T53" s="37">
        <v>0</v>
      </c>
      <c r="U53" s="36">
        <v>713190</v>
      </c>
      <c r="V53" s="36">
        <v>713190</v>
      </c>
      <c r="W53" s="2"/>
    </row>
    <row r="54" spans="1:23" ht="60" outlineLevel="3">
      <c r="A54" s="29" t="s">
        <v>244</v>
      </c>
      <c r="B54" s="30" t="s">
        <v>28</v>
      </c>
      <c r="C54" s="30" t="s">
        <v>8</v>
      </c>
      <c r="D54" s="30" t="s">
        <v>34</v>
      </c>
      <c r="E54" s="30" t="s">
        <v>38</v>
      </c>
      <c r="F54" s="30" t="s">
        <v>6</v>
      </c>
      <c r="G54" s="30" t="s">
        <v>6</v>
      </c>
      <c r="H54" s="30"/>
      <c r="I54" s="30"/>
      <c r="J54" s="30"/>
      <c r="K54" s="30"/>
      <c r="L54" s="30"/>
      <c r="M54" s="30"/>
      <c r="N54" s="36">
        <v>84030</v>
      </c>
      <c r="O54" s="37">
        <v>84030</v>
      </c>
      <c r="P54" s="37">
        <v>0</v>
      </c>
      <c r="Q54" s="37">
        <v>84030</v>
      </c>
      <c r="R54" s="37">
        <v>0</v>
      </c>
      <c r="S54" s="37">
        <v>84030</v>
      </c>
      <c r="T54" s="37">
        <v>0</v>
      </c>
      <c r="U54" s="36">
        <v>84030</v>
      </c>
      <c r="V54" s="36">
        <v>84030</v>
      </c>
      <c r="W54" s="2"/>
    </row>
    <row r="55" spans="1:23" outlineLevel="5">
      <c r="A55" s="29" t="s">
        <v>39</v>
      </c>
      <c r="B55" s="30" t="s">
        <v>28</v>
      </c>
      <c r="C55" s="30" t="s">
        <v>8</v>
      </c>
      <c r="D55" s="30" t="s">
        <v>34</v>
      </c>
      <c r="E55" s="30" t="s">
        <v>38</v>
      </c>
      <c r="F55" s="30" t="s">
        <v>40</v>
      </c>
      <c r="G55" s="30" t="s">
        <v>6</v>
      </c>
      <c r="H55" s="30"/>
      <c r="I55" s="30"/>
      <c r="J55" s="30"/>
      <c r="K55" s="30"/>
      <c r="L55" s="30"/>
      <c r="M55" s="30"/>
      <c r="N55" s="36">
        <v>84030</v>
      </c>
      <c r="O55" s="37">
        <v>84030</v>
      </c>
      <c r="P55" s="37">
        <v>0</v>
      </c>
      <c r="Q55" s="37">
        <v>84030</v>
      </c>
      <c r="R55" s="37">
        <v>0</v>
      </c>
      <c r="S55" s="37">
        <v>84030</v>
      </c>
      <c r="T55" s="37">
        <v>0</v>
      </c>
      <c r="U55" s="36">
        <v>84030</v>
      </c>
      <c r="V55" s="36">
        <v>84030</v>
      </c>
      <c r="W55" s="2"/>
    </row>
    <row r="56" spans="1:23" ht="60" outlineLevel="3">
      <c r="A56" s="29" t="s">
        <v>245</v>
      </c>
      <c r="B56" s="30" t="s">
        <v>28</v>
      </c>
      <c r="C56" s="30" t="s">
        <v>8</v>
      </c>
      <c r="D56" s="30" t="s">
        <v>34</v>
      </c>
      <c r="E56" s="30" t="s">
        <v>41</v>
      </c>
      <c r="F56" s="30" t="s">
        <v>6</v>
      </c>
      <c r="G56" s="30" t="s">
        <v>6</v>
      </c>
      <c r="H56" s="30"/>
      <c r="I56" s="30"/>
      <c r="J56" s="30"/>
      <c r="K56" s="30"/>
      <c r="L56" s="30"/>
      <c r="M56" s="30"/>
      <c r="N56" s="36">
        <f>N57</f>
        <v>528150</v>
      </c>
      <c r="O56" s="36">
        <f t="shared" ref="O56:T56" si="16">O57</f>
        <v>440510</v>
      </c>
      <c r="P56" s="36">
        <f t="shared" si="16"/>
        <v>0</v>
      </c>
      <c r="Q56" s="36">
        <f t="shared" si="16"/>
        <v>440510</v>
      </c>
      <c r="R56" s="36">
        <f t="shared" si="16"/>
        <v>0</v>
      </c>
      <c r="S56" s="36">
        <f t="shared" si="16"/>
        <v>440510</v>
      </c>
      <c r="T56" s="36">
        <f t="shared" si="16"/>
        <v>0</v>
      </c>
      <c r="U56" s="36">
        <v>476240</v>
      </c>
      <c r="V56" s="36">
        <v>476240</v>
      </c>
      <c r="W56" s="2"/>
    </row>
    <row r="57" spans="1:23" outlineLevel="5">
      <c r="A57" s="29" t="s">
        <v>39</v>
      </c>
      <c r="B57" s="30" t="s">
        <v>28</v>
      </c>
      <c r="C57" s="30" t="s">
        <v>8</v>
      </c>
      <c r="D57" s="30" t="s">
        <v>34</v>
      </c>
      <c r="E57" s="30" t="s">
        <v>41</v>
      </c>
      <c r="F57" s="30" t="s">
        <v>40</v>
      </c>
      <c r="G57" s="30" t="s">
        <v>6</v>
      </c>
      <c r="H57" s="30"/>
      <c r="I57" s="30"/>
      <c r="J57" s="30"/>
      <c r="K57" s="30"/>
      <c r="L57" s="30"/>
      <c r="M57" s="30"/>
      <c r="N57" s="36">
        <f>476240+51910</f>
        <v>528150</v>
      </c>
      <c r="O57" s="37">
        <v>440510</v>
      </c>
      <c r="P57" s="37">
        <v>0</v>
      </c>
      <c r="Q57" s="37">
        <v>440510</v>
      </c>
      <c r="R57" s="37">
        <v>0</v>
      </c>
      <c r="S57" s="37">
        <v>440510</v>
      </c>
      <c r="T57" s="37">
        <v>0</v>
      </c>
      <c r="U57" s="36">
        <v>476240</v>
      </c>
      <c r="V57" s="36">
        <v>476240</v>
      </c>
      <c r="W57" s="2"/>
    </row>
    <row r="58" spans="1:23" ht="45" outlineLevel="3">
      <c r="A58" s="29" t="s">
        <v>246</v>
      </c>
      <c r="B58" s="30" t="s">
        <v>28</v>
      </c>
      <c r="C58" s="30" t="s">
        <v>8</v>
      </c>
      <c r="D58" s="30" t="s">
        <v>34</v>
      </c>
      <c r="E58" s="30" t="s">
        <v>42</v>
      </c>
      <c r="F58" s="30" t="s">
        <v>6</v>
      </c>
      <c r="G58" s="30" t="s">
        <v>6</v>
      </c>
      <c r="H58" s="30"/>
      <c r="I58" s="30"/>
      <c r="J58" s="30"/>
      <c r="K58" s="30"/>
      <c r="L58" s="30"/>
      <c r="M58" s="30"/>
      <c r="N58" s="36">
        <v>264160</v>
      </c>
      <c r="O58" s="37">
        <v>264160</v>
      </c>
      <c r="P58" s="37">
        <v>0</v>
      </c>
      <c r="Q58" s="37">
        <v>264160</v>
      </c>
      <c r="R58" s="37">
        <v>0</v>
      </c>
      <c r="S58" s="37">
        <v>264160</v>
      </c>
      <c r="T58" s="37">
        <v>0</v>
      </c>
      <c r="U58" s="36">
        <v>264160</v>
      </c>
      <c r="V58" s="36">
        <v>264160</v>
      </c>
      <c r="W58" s="2"/>
    </row>
    <row r="59" spans="1:23" outlineLevel="5">
      <c r="A59" s="29" t="s">
        <v>39</v>
      </c>
      <c r="B59" s="30" t="s">
        <v>28</v>
      </c>
      <c r="C59" s="30" t="s">
        <v>8</v>
      </c>
      <c r="D59" s="30" t="s">
        <v>34</v>
      </c>
      <c r="E59" s="30" t="s">
        <v>42</v>
      </c>
      <c r="F59" s="30" t="s">
        <v>40</v>
      </c>
      <c r="G59" s="30" t="s">
        <v>6</v>
      </c>
      <c r="H59" s="30"/>
      <c r="I59" s="30"/>
      <c r="J59" s="30"/>
      <c r="K59" s="30"/>
      <c r="L59" s="30"/>
      <c r="M59" s="30"/>
      <c r="N59" s="36">
        <v>264160</v>
      </c>
      <c r="O59" s="37">
        <v>264160</v>
      </c>
      <c r="P59" s="37">
        <v>0</v>
      </c>
      <c r="Q59" s="37">
        <v>264160</v>
      </c>
      <c r="R59" s="37">
        <v>0</v>
      </c>
      <c r="S59" s="37">
        <v>264160</v>
      </c>
      <c r="T59" s="37">
        <v>0</v>
      </c>
      <c r="U59" s="36">
        <v>264160</v>
      </c>
      <c r="V59" s="36">
        <v>264160</v>
      </c>
      <c r="W59" s="2"/>
    </row>
    <row r="60" spans="1:23" ht="45" outlineLevel="3">
      <c r="A60" s="29" t="s">
        <v>247</v>
      </c>
      <c r="B60" s="30" t="s">
        <v>28</v>
      </c>
      <c r="C60" s="30" t="s">
        <v>8</v>
      </c>
      <c r="D60" s="30" t="s">
        <v>34</v>
      </c>
      <c r="E60" s="30" t="s">
        <v>43</v>
      </c>
      <c r="F60" s="30" t="s">
        <v>6</v>
      </c>
      <c r="G60" s="30" t="s">
        <v>6</v>
      </c>
      <c r="H60" s="30"/>
      <c r="I60" s="30"/>
      <c r="J60" s="30"/>
      <c r="K60" s="30"/>
      <c r="L60" s="30"/>
      <c r="M60" s="30"/>
      <c r="N60" s="36">
        <v>64480</v>
      </c>
      <c r="O60" s="37">
        <v>64480</v>
      </c>
      <c r="P60" s="37">
        <v>0</v>
      </c>
      <c r="Q60" s="37">
        <v>64480</v>
      </c>
      <c r="R60" s="37">
        <v>0</v>
      </c>
      <c r="S60" s="37">
        <v>64480</v>
      </c>
      <c r="T60" s="37">
        <v>0</v>
      </c>
      <c r="U60" s="36">
        <v>64480</v>
      </c>
      <c r="V60" s="36">
        <v>64480</v>
      </c>
      <c r="W60" s="2"/>
    </row>
    <row r="61" spans="1:23" outlineLevel="5">
      <c r="A61" s="29" t="s">
        <v>39</v>
      </c>
      <c r="B61" s="30" t="s">
        <v>28</v>
      </c>
      <c r="C61" s="30" t="s">
        <v>8</v>
      </c>
      <c r="D61" s="30" t="s">
        <v>34</v>
      </c>
      <c r="E61" s="30" t="s">
        <v>43</v>
      </c>
      <c r="F61" s="30" t="s">
        <v>40</v>
      </c>
      <c r="G61" s="30" t="s">
        <v>6</v>
      </c>
      <c r="H61" s="30"/>
      <c r="I61" s="30"/>
      <c r="J61" s="30"/>
      <c r="K61" s="30"/>
      <c r="L61" s="30"/>
      <c r="M61" s="30"/>
      <c r="N61" s="36">
        <v>64480</v>
      </c>
      <c r="O61" s="37">
        <v>64480</v>
      </c>
      <c r="P61" s="37">
        <v>0</v>
      </c>
      <c r="Q61" s="37">
        <v>64480</v>
      </c>
      <c r="R61" s="37">
        <v>0</v>
      </c>
      <c r="S61" s="37">
        <v>64480</v>
      </c>
      <c r="T61" s="37">
        <v>0</v>
      </c>
      <c r="U61" s="36">
        <v>64480</v>
      </c>
      <c r="V61" s="36">
        <v>64480</v>
      </c>
      <c r="W61" s="2"/>
    </row>
    <row r="62" spans="1:23" ht="74.25" customHeight="1" outlineLevel="3">
      <c r="A62" s="29" t="s">
        <v>248</v>
      </c>
      <c r="B62" s="30" t="s">
        <v>28</v>
      </c>
      <c r="C62" s="30" t="s">
        <v>8</v>
      </c>
      <c r="D62" s="30" t="s">
        <v>34</v>
      </c>
      <c r="E62" s="30" t="s">
        <v>44</v>
      </c>
      <c r="F62" s="30" t="s">
        <v>6</v>
      </c>
      <c r="G62" s="30" t="s">
        <v>6</v>
      </c>
      <c r="H62" s="30"/>
      <c r="I62" s="30"/>
      <c r="J62" s="30"/>
      <c r="K62" s="30"/>
      <c r="L62" s="30"/>
      <c r="M62" s="30"/>
      <c r="N62" s="36">
        <v>6240</v>
      </c>
      <c r="O62" s="37">
        <v>6240</v>
      </c>
      <c r="P62" s="37">
        <v>0</v>
      </c>
      <c r="Q62" s="37">
        <v>6240</v>
      </c>
      <c r="R62" s="37">
        <v>0</v>
      </c>
      <c r="S62" s="37">
        <v>6240</v>
      </c>
      <c r="T62" s="37">
        <v>0</v>
      </c>
      <c r="U62" s="36">
        <v>0</v>
      </c>
      <c r="V62" s="36">
        <v>0</v>
      </c>
      <c r="W62" s="2"/>
    </row>
    <row r="63" spans="1:23" outlineLevel="5">
      <c r="A63" s="29" t="s">
        <v>39</v>
      </c>
      <c r="B63" s="30" t="s">
        <v>28</v>
      </c>
      <c r="C63" s="30" t="s">
        <v>8</v>
      </c>
      <c r="D63" s="30" t="s">
        <v>34</v>
      </c>
      <c r="E63" s="30" t="s">
        <v>44</v>
      </c>
      <c r="F63" s="30" t="s">
        <v>40</v>
      </c>
      <c r="G63" s="30" t="s">
        <v>6</v>
      </c>
      <c r="H63" s="30"/>
      <c r="I63" s="30"/>
      <c r="J63" s="30"/>
      <c r="K63" s="30"/>
      <c r="L63" s="30"/>
      <c r="M63" s="30"/>
      <c r="N63" s="36">
        <v>6240</v>
      </c>
      <c r="O63" s="37">
        <v>6240</v>
      </c>
      <c r="P63" s="37">
        <v>0</v>
      </c>
      <c r="Q63" s="37">
        <v>6240</v>
      </c>
      <c r="R63" s="37">
        <v>0</v>
      </c>
      <c r="S63" s="37">
        <v>6240</v>
      </c>
      <c r="T63" s="37">
        <v>0</v>
      </c>
      <c r="U63" s="36">
        <v>0</v>
      </c>
      <c r="V63" s="36">
        <v>0</v>
      </c>
      <c r="W63" s="2"/>
    </row>
    <row r="64" spans="1:23" ht="77.25" customHeight="1" outlineLevel="3">
      <c r="A64" s="29" t="s">
        <v>249</v>
      </c>
      <c r="B64" s="30" t="s">
        <v>28</v>
      </c>
      <c r="C64" s="30" t="s">
        <v>8</v>
      </c>
      <c r="D64" s="30" t="s">
        <v>34</v>
      </c>
      <c r="E64" s="30" t="s">
        <v>45</v>
      </c>
      <c r="F64" s="30" t="s">
        <v>6</v>
      </c>
      <c r="G64" s="30" t="s">
        <v>6</v>
      </c>
      <c r="H64" s="30"/>
      <c r="I64" s="30"/>
      <c r="J64" s="30"/>
      <c r="K64" s="30"/>
      <c r="L64" s="30"/>
      <c r="M64" s="30"/>
      <c r="N64" s="36">
        <v>32240</v>
      </c>
      <c r="O64" s="37">
        <v>32240</v>
      </c>
      <c r="P64" s="37">
        <v>0</v>
      </c>
      <c r="Q64" s="37">
        <v>32240</v>
      </c>
      <c r="R64" s="37">
        <v>0</v>
      </c>
      <c r="S64" s="37">
        <v>32240</v>
      </c>
      <c r="T64" s="37">
        <v>0</v>
      </c>
      <c r="U64" s="36">
        <v>32240</v>
      </c>
      <c r="V64" s="36">
        <v>32240</v>
      </c>
      <c r="W64" s="2"/>
    </row>
    <row r="65" spans="1:23" outlineLevel="5">
      <c r="A65" s="29" t="s">
        <v>39</v>
      </c>
      <c r="B65" s="30" t="s">
        <v>28</v>
      </c>
      <c r="C65" s="30" t="s">
        <v>8</v>
      </c>
      <c r="D65" s="30" t="s">
        <v>34</v>
      </c>
      <c r="E65" s="30" t="s">
        <v>45</v>
      </c>
      <c r="F65" s="30" t="s">
        <v>40</v>
      </c>
      <c r="G65" s="30" t="s">
        <v>6</v>
      </c>
      <c r="H65" s="30"/>
      <c r="I65" s="30"/>
      <c r="J65" s="30"/>
      <c r="K65" s="30"/>
      <c r="L65" s="30"/>
      <c r="M65" s="30"/>
      <c r="N65" s="36">
        <v>32240</v>
      </c>
      <c r="O65" s="37">
        <v>32240</v>
      </c>
      <c r="P65" s="37">
        <v>0</v>
      </c>
      <c r="Q65" s="37">
        <v>32240</v>
      </c>
      <c r="R65" s="37">
        <v>0</v>
      </c>
      <c r="S65" s="37">
        <v>32240</v>
      </c>
      <c r="T65" s="37">
        <v>0</v>
      </c>
      <c r="U65" s="36">
        <v>32240</v>
      </c>
      <c r="V65" s="36">
        <v>32240</v>
      </c>
      <c r="W65" s="2"/>
    </row>
    <row r="66" spans="1:23" ht="45" outlineLevel="3">
      <c r="A66" s="29" t="s">
        <v>250</v>
      </c>
      <c r="B66" s="30" t="s">
        <v>28</v>
      </c>
      <c r="C66" s="30" t="s">
        <v>8</v>
      </c>
      <c r="D66" s="30" t="s">
        <v>34</v>
      </c>
      <c r="E66" s="30" t="s">
        <v>46</v>
      </c>
      <c r="F66" s="30" t="s">
        <v>6</v>
      </c>
      <c r="G66" s="30" t="s">
        <v>6</v>
      </c>
      <c r="H66" s="30"/>
      <c r="I66" s="30"/>
      <c r="J66" s="30"/>
      <c r="K66" s="30"/>
      <c r="L66" s="30"/>
      <c r="M66" s="30"/>
      <c r="N66" s="36">
        <v>32240</v>
      </c>
      <c r="O66" s="37">
        <v>32240</v>
      </c>
      <c r="P66" s="37">
        <v>0</v>
      </c>
      <c r="Q66" s="37">
        <v>32240</v>
      </c>
      <c r="R66" s="37">
        <v>0</v>
      </c>
      <c r="S66" s="37">
        <v>32240</v>
      </c>
      <c r="T66" s="37">
        <v>0</v>
      </c>
      <c r="U66" s="36">
        <v>32240</v>
      </c>
      <c r="V66" s="36">
        <v>32240</v>
      </c>
      <c r="W66" s="2"/>
    </row>
    <row r="67" spans="1:23" outlineLevel="5">
      <c r="A67" s="29" t="s">
        <v>39</v>
      </c>
      <c r="B67" s="30" t="s">
        <v>28</v>
      </c>
      <c r="C67" s="30" t="s">
        <v>8</v>
      </c>
      <c r="D67" s="30" t="s">
        <v>34</v>
      </c>
      <c r="E67" s="30" t="s">
        <v>46</v>
      </c>
      <c r="F67" s="30" t="s">
        <v>40</v>
      </c>
      <c r="G67" s="30" t="s">
        <v>6</v>
      </c>
      <c r="H67" s="30"/>
      <c r="I67" s="30"/>
      <c r="J67" s="30"/>
      <c r="K67" s="30"/>
      <c r="L67" s="30"/>
      <c r="M67" s="30"/>
      <c r="N67" s="36">
        <v>32240</v>
      </c>
      <c r="O67" s="37">
        <v>32240</v>
      </c>
      <c r="P67" s="37">
        <v>0</v>
      </c>
      <c r="Q67" s="37">
        <v>32240</v>
      </c>
      <c r="R67" s="37">
        <v>0</v>
      </c>
      <c r="S67" s="37">
        <v>32240</v>
      </c>
      <c r="T67" s="37">
        <v>0</v>
      </c>
      <c r="U67" s="36">
        <v>32240</v>
      </c>
      <c r="V67" s="36">
        <v>32240</v>
      </c>
      <c r="W67" s="2"/>
    </row>
    <row r="68" spans="1:23" outlineLevel="2">
      <c r="A68" s="29" t="s">
        <v>49</v>
      </c>
      <c r="B68" s="30" t="s">
        <v>28</v>
      </c>
      <c r="C68" s="30" t="s">
        <v>8</v>
      </c>
      <c r="D68" s="30" t="s">
        <v>50</v>
      </c>
      <c r="E68" s="30" t="s">
        <v>5</v>
      </c>
      <c r="F68" s="30" t="s">
        <v>6</v>
      </c>
      <c r="G68" s="30" t="s">
        <v>6</v>
      </c>
      <c r="H68" s="30"/>
      <c r="I68" s="30"/>
      <c r="J68" s="30"/>
      <c r="K68" s="30"/>
      <c r="L68" s="30"/>
      <c r="M68" s="30"/>
      <c r="N68" s="36">
        <f>N69</f>
        <v>80000</v>
      </c>
      <c r="O68" s="37">
        <v>100000</v>
      </c>
      <c r="P68" s="37">
        <v>0</v>
      </c>
      <c r="Q68" s="37">
        <v>100000</v>
      </c>
      <c r="R68" s="37">
        <v>0</v>
      </c>
      <c r="S68" s="37">
        <v>100000</v>
      </c>
      <c r="T68" s="37">
        <v>0</v>
      </c>
      <c r="U68" s="36">
        <v>100000</v>
      </c>
      <c r="V68" s="36">
        <v>100000</v>
      </c>
      <c r="W68" s="2"/>
    </row>
    <row r="69" spans="1:23" ht="30" outlineLevel="3">
      <c r="A69" s="29" t="s">
        <v>51</v>
      </c>
      <c r="B69" s="30" t="s">
        <v>28</v>
      </c>
      <c r="C69" s="30" t="s">
        <v>8</v>
      </c>
      <c r="D69" s="30" t="s">
        <v>50</v>
      </c>
      <c r="E69" s="30" t="s">
        <v>52</v>
      </c>
      <c r="F69" s="30" t="s">
        <v>6</v>
      </c>
      <c r="G69" s="30" t="s">
        <v>6</v>
      </c>
      <c r="H69" s="30"/>
      <c r="I69" s="30"/>
      <c r="J69" s="30"/>
      <c r="K69" s="30"/>
      <c r="L69" s="30"/>
      <c r="M69" s="30"/>
      <c r="N69" s="36">
        <f>N70</f>
        <v>80000</v>
      </c>
      <c r="O69" s="37">
        <v>100000</v>
      </c>
      <c r="P69" s="37">
        <v>0</v>
      </c>
      <c r="Q69" s="37">
        <v>100000</v>
      </c>
      <c r="R69" s="37">
        <v>0</v>
      </c>
      <c r="S69" s="37">
        <v>100000</v>
      </c>
      <c r="T69" s="37">
        <v>0</v>
      </c>
      <c r="U69" s="36">
        <v>100000</v>
      </c>
      <c r="V69" s="36">
        <v>100000</v>
      </c>
      <c r="W69" s="2"/>
    </row>
    <row r="70" spans="1:23" outlineLevel="5">
      <c r="A70" s="29" t="s">
        <v>16</v>
      </c>
      <c r="B70" s="30" t="s">
        <v>28</v>
      </c>
      <c r="C70" s="30" t="s">
        <v>8</v>
      </c>
      <c r="D70" s="30" t="s">
        <v>50</v>
      </c>
      <c r="E70" s="30" t="s">
        <v>52</v>
      </c>
      <c r="F70" s="30" t="s">
        <v>17</v>
      </c>
      <c r="G70" s="30" t="s">
        <v>6</v>
      </c>
      <c r="H70" s="30"/>
      <c r="I70" s="30"/>
      <c r="J70" s="30"/>
      <c r="K70" s="30"/>
      <c r="L70" s="30"/>
      <c r="M70" s="30"/>
      <c r="N70" s="36">
        <v>80000</v>
      </c>
      <c r="O70" s="37">
        <v>100000</v>
      </c>
      <c r="P70" s="37">
        <v>0</v>
      </c>
      <c r="Q70" s="37">
        <v>100000</v>
      </c>
      <c r="R70" s="37">
        <v>0</v>
      </c>
      <c r="S70" s="37">
        <v>100000</v>
      </c>
      <c r="T70" s="37">
        <v>0</v>
      </c>
      <c r="U70" s="36">
        <v>100000</v>
      </c>
      <c r="V70" s="36">
        <v>100000</v>
      </c>
      <c r="W70" s="2"/>
    </row>
    <row r="71" spans="1:23" outlineLevel="2">
      <c r="A71" s="29" t="s">
        <v>18</v>
      </c>
      <c r="B71" s="30" t="s">
        <v>28</v>
      </c>
      <c r="C71" s="30" t="s">
        <v>8</v>
      </c>
      <c r="D71" s="30" t="s">
        <v>19</v>
      </c>
      <c r="E71" s="30" t="s">
        <v>5</v>
      </c>
      <c r="F71" s="30" t="s">
        <v>6</v>
      </c>
      <c r="G71" s="30" t="s">
        <v>6</v>
      </c>
      <c r="H71" s="30"/>
      <c r="I71" s="30"/>
      <c r="J71" s="30"/>
      <c r="K71" s="30"/>
      <c r="L71" s="30"/>
      <c r="M71" s="30"/>
      <c r="N71" s="36">
        <f>N72+N75+N83+N86+N92+N94+N101+N106+N108+N110+N88+N80+N112</f>
        <v>5432677.6600000001</v>
      </c>
      <c r="O71" s="36">
        <f t="shared" ref="O71:V71" si="17">O72+O75+O83+O86+O92+O94+O101+O106+O108+O110+O88+O80+O112</f>
        <v>109992</v>
      </c>
      <c r="P71" s="36">
        <f t="shared" si="17"/>
        <v>0</v>
      </c>
      <c r="Q71" s="36">
        <f t="shared" si="17"/>
        <v>109992</v>
      </c>
      <c r="R71" s="36">
        <f t="shared" si="17"/>
        <v>0</v>
      </c>
      <c r="S71" s="36">
        <f t="shared" si="17"/>
        <v>109992</v>
      </c>
      <c r="T71" s="36">
        <f t="shared" si="17"/>
        <v>0</v>
      </c>
      <c r="U71" s="36">
        <f t="shared" si="17"/>
        <v>3927267.0599999996</v>
      </c>
      <c r="V71" s="36">
        <f t="shared" si="17"/>
        <v>3927267.0599999996</v>
      </c>
      <c r="W71" s="2"/>
    </row>
    <row r="72" spans="1:23" ht="45.75" customHeight="1" outlineLevel="3">
      <c r="A72" s="29" t="s">
        <v>53</v>
      </c>
      <c r="B72" s="30" t="s">
        <v>28</v>
      </c>
      <c r="C72" s="30" t="s">
        <v>8</v>
      </c>
      <c r="D72" s="30" t="s">
        <v>19</v>
      </c>
      <c r="E72" s="30" t="s">
        <v>54</v>
      </c>
      <c r="F72" s="30" t="s">
        <v>6</v>
      </c>
      <c r="G72" s="30" t="s">
        <v>6</v>
      </c>
      <c r="H72" s="30"/>
      <c r="I72" s="30"/>
      <c r="J72" s="30"/>
      <c r="K72" s="30"/>
      <c r="L72" s="30"/>
      <c r="M72" s="30"/>
      <c r="N72" s="36">
        <f>N73</f>
        <v>629000</v>
      </c>
      <c r="O72" s="36">
        <f t="shared" ref="O72:V72" si="18">O73</f>
        <v>0</v>
      </c>
      <c r="P72" s="36">
        <f t="shared" si="18"/>
        <v>0</v>
      </c>
      <c r="Q72" s="36">
        <f t="shared" si="18"/>
        <v>0</v>
      </c>
      <c r="R72" s="36">
        <f t="shared" si="18"/>
        <v>0</v>
      </c>
      <c r="S72" s="36">
        <f t="shared" si="18"/>
        <v>0</v>
      </c>
      <c r="T72" s="36">
        <f t="shared" si="18"/>
        <v>0</v>
      </c>
      <c r="U72" s="36">
        <f t="shared" si="18"/>
        <v>60000</v>
      </c>
      <c r="V72" s="36">
        <f t="shared" si="18"/>
        <v>60000</v>
      </c>
      <c r="W72" s="2"/>
    </row>
    <row r="73" spans="1:23" ht="34.5" customHeight="1" outlineLevel="5">
      <c r="A73" s="29" t="s">
        <v>14</v>
      </c>
      <c r="B73" s="30" t="s">
        <v>28</v>
      </c>
      <c r="C73" s="30" t="s">
        <v>8</v>
      </c>
      <c r="D73" s="30" t="s">
        <v>19</v>
      </c>
      <c r="E73" s="30" t="s">
        <v>54</v>
      </c>
      <c r="F73" s="30" t="s">
        <v>15</v>
      </c>
      <c r="G73" s="30" t="s">
        <v>6</v>
      </c>
      <c r="H73" s="30"/>
      <c r="I73" s="30"/>
      <c r="J73" s="30"/>
      <c r="K73" s="30"/>
      <c r="L73" s="30"/>
      <c r="M73" s="30"/>
      <c r="N73" s="36">
        <f>N74</f>
        <v>629000</v>
      </c>
      <c r="O73" s="36">
        <f t="shared" ref="O73:V73" si="19">O74</f>
        <v>0</v>
      </c>
      <c r="P73" s="36">
        <f t="shared" si="19"/>
        <v>0</v>
      </c>
      <c r="Q73" s="36">
        <f t="shared" si="19"/>
        <v>0</v>
      </c>
      <c r="R73" s="36">
        <f t="shared" si="19"/>
        <v>0</v>
      </c>
      <c r="S73" s="36">
        <f t="shared" si="19"/>
        <v>0</v>
      </c>
      <c r="T73" s="36">
        <f t="shared" si="19"/>
        <v>0</v>
      </c>
      <c r="U73" s="36">
        <f t="shared" si="19"/>
        <v>60000</v>
      </c>
      <c r="V73" s="36">
        <f t="shared" si="19"/>
        <v>60000</v>
      </c>
      <c r="W73" s="2"/>
    </row>
    <row r="74" spans="1:23" ht="16.5" customHeight="1" outlineLevel="5">
      <c r="A74" s="29" t="s">
        <v>146</v>
      </c>
      <c r="B74" s="30" t="s">
        <v>28</v>
      </c>
      <c r="C74" s="30" t="s">
        <v>8</v>
      </c>
      <c r="D74" s="30" t="s">
        <v>19</v>
      </c>
      <c r="E74" s="30" t="s">
        <v>54</v>
      </c>
      <c r="F74" s="30" t="s">
        <v>15</v>
      </c>
      <c r="G74" s="30"/>
      <c r="H74" s="30" t="s">
        <v>140</v>
      </c>
      <c r="I74" s="30"/>
      <c r="J74" s="30"/>
      <c r="K74" s="30"/>
      <c r="L74" s="30"/>
      <c r="M74" s="30"/>
      <c r="N74" s="36">
        <f>900000+105000+60000-436000</f>
        <v>629000</v>
      </c>
      <c r="O74" s="37"/>
      <c r="P74" s="37"/>
      <c r="Q74" s="37"/>
      <c r="R74" s="37"/>
      <c r="S74" s="37"/>
      <c r="T74" s="37"/>
      <c r="U74" s="36">
        <v>60000</v>
      </c>
      <c r="V74" s="36">
        <v>60000</v>
      </c>
      <c r="W74" s="2"/>
    </row>
    <row r="75" spans="1:23" ht="30" outlineLevel="3">
      <c r="A75" s="29" t="s">
        <v>55</v>
      </c>
      <c r="B75" s="30" t="s">
        <v>28</v>
      </c>
      <c r="C75" s="30" t="s">
        <v>8</v>
      </c>
      <c r="D75" s="30" t="s">
        <v>19</v>
      </c>
      <c r="E75" s="30" t="s">
        <v>56</v>
      </c>
      <c r="F75" s="30" t="s">
        <v>6</v>
      </c>
      <c r="G75" s="30" t="s">
        <v>6</v>
      </c>
      <c r="H75" s="30"/>
      <c r="I75" s="30"/>
      <c r="J75" s="30"/>
      <c r="K75" s="30"/>
      <c r="L75" s="30"/>
      <c r="M75" s="30"/>
      <c r="N75" s="36">
        <f>N76+N79</f>
        <v>2715262.4000000004</v>
      </c>
      <c r="O75" s="36">
        <f t="shared" ref="O75:V75" si="20">O76+O79</f>
        <v>15182</v>
      </c>
      <c r="P75" s="36">
        <f t="shared" si="20"/>
        <v>0</v>
      </c>
      <c r="Q75" s="36">
        <f t="shared" si="20"/>
        <v>15182</v>
      </c>
      <c r="R75" s="36">
        <f t="shared" si="20"/>
        <v>0</v>
      </c>
      <c r="S75" s="36">
        <f t="shared" si="20"/>
        <v>15182</v>
      </c>
      <c r="T75" s="36">
        <f t="shared" si="20"/>
        <v>0</v>
      </c>
      <c r="U75" s="36">
        <f t="shared" si="20"/>
        <v>2282101.7999999998</v>
      </c>
      <c r="V75" s="36">
        <f t="shared" si="20"/>
        <v>2282101.7999999998</v>
      </c>
      <c r="W75" s="2"/>
    </row>
    <row r="76" spans="1:23" ht="32.25" customHeight="1" outlineLevel="5">
      <c r="A76" s="29" t="s">
        <v>14</v>
      </c>
      <c r="B76" s="30" t="s">
        <v>28</v>
      </c>
      <c r="C76" s="30" t="s">
        <v>8</v>
      </c>
      <c r="D76" s="30" t="s">
        <v>19</v>
      </c>
      <c r="E76" s="30" t="s">
        <v>56</v>
      </c>
      <c r="F76" s="30" t="s">
        <v>15</v>
      </c>
      <c r="G76" s="30" t="s">
        <v>6</v>
      </c>
      <c r="H76" s="30"/>
      <c r="I76" s="30"/>
      <c r="J76" s="30"/>
      <c r="K76" s="30"/>
      <c r="L76" s="30"/>
      <c r="M76" s="30"/>
      <c r="N76" s="36">
        <f>N77+N78</f>
        <v>2702479.4000000004</v>
      </c>
      <c r="O76" s="36">
        <f t="shared" ref="O76:V76" si="21">O77+O78</f>
        <v>0</v>
      </c>
      <c r="P76" s="36">
        <f t="shared" si="21"/>
        <v>0</v>
      </c>
      <c r="Q76" s="36">
        <f t="shared" si="21"/>
        <v>0</v>
      </c>
      <c r="R76" s="36">
        <f t="shared" si="21"/>
        <v>0</v>
      </c>
      <c r="S76" s="36">
        <f t="shared" si="21"/>
        <v>0</v>
      </c>
      <c r="T76" s="36">
        <f t="shared" si="21"/>
        <v>0</v>
      </c>
      <c r="U76" s="36">
        <f t="shared" si="21"/>
        <v>2270601.7999999998</v>
      </c>
      <c r="V76" s="36">
        <f t="shared" si="21"/>
        <v>2270601.7999999998</v>
      </c>
      <c r="W76" s="2"/>
    </row>
    <row r="77" spans="1:23" outlineLevel="5">
      <c r="A77" s="29" t="s">
        <v>152</v>
      </c>
      <c r="B77" s="30" t="s">
        <v>28</v>
      </c>
      <c r="C77" s="30" t="s">
        <v>8</v>
      </c>
      <c r="D77" s="30" t="s">
        <v>19</v>
      </c>
      <c r="E77" s="30" t="s">
        <v>56</v>
      </c>
      <c r="F77" s="30" t="s">
        <v>15</v>
      </c>
      <c r="G77" s="30"/>
      <c r="H77" s="30" t="s">
        <v>151</v>
      </c>
      <c r="I77" s="30"/>
      <c r="J77" s="30"/>
      <c r="K77" s="30"/>
      <c r="L77" s="30"/>
      <c r="M77" s="30"/>
      <c r="N77" s="36">
        <f>1523458.59+107737.53+3000+10000+30110.6+25500+50000+18917+100000</f>
        <v>1868723.7200000002</v>
      </c>
      <c r="O77" s="37"/>
      <c r="P77" s="37"/>
      <c r="Q77" s="37"/>
      <c r="R77" s="37"/>
      <c r="S77" s="37"/>
      <c r="T77" s="37"/>
      <c r="U77" s="36">
        <v>1523458.59</v>
      </c>
      <c r="V77" s="36">
        <v>1523458.59</v>
      </c>
      <c r="W77" s="2"/>
    </row>
    <row r="78" spans="1:23" outlineLevel="5">
      <c r="A78" s="29" t="s">
        <v>145</v>
      </c>
      <c r="B78" s="30" t="s">
        <v>28</v>
      </c>
      <c r="C78" s="30" t="s">
        <v>8</v>
      </c>
      <c r="D78" s="30" t="s">
        <v>19</v>
      </c>
      <c r="E78" s="30" t="s">
        <v>56</v>
      </c>
      <c r="F78" s="30" t="s">
        <v>15</v>
      </c>
      <c r="G78" s="30"/>
      <c r="H78" s="30" t="s">
        <v>139</v>
      </c>
      <c r="I78" s="30"/>
      <c r="J78" s="30"/>
      <c r="K78" s="30"/>
      <c r="L78" s="30"/>
      <c r="M78" s="30"/>
      <c r="N78" s="36">
        <f>747143.21-107737.53+64850+5000+100000-25500+50000</f>
        <v>833755.67999999993</v>
      </c>
      <c r="O78" s="37"/>
      <c r="P78" s="37"/>
      <c r="Q78" s="37"/>
      <c r="R78" s="37"/>
      <c r="S78" s="37"/>
      <c r="T78" s="37"/>
      <c r="U78" s="36">
        <v>747143.21</v>
      </c>
      <c r="V78" s="36">
        <v>747143.21</v>
      </c>
      <c r="W78" s="2"/>
    </row>
    <row r="79" spans="1:23" outlineLevel="5">
      <c r="A79" s="29" t="s">
        <v>16</v>
      </c>
      <c r="B79" s="30" t="s">
        <v>28</v>
      </c>
      <c r="C79" s="30" t="s">
        <v>8</v>
      </c>
      <c r="D79" s="30" t="s">
        <v>19</v>
      </c>
      <c r="E79" s="30" t="s">
        <v>56</v>
      </c>
      <c r="F79" s="30" t="s">
        <v>17</v>
      </c>
      <c r="G79" s="30" t="s">
        <v>6</v>
      </c>
      <c r="H79" s="30"/>
      <c r="I79" s="30"/>
      <c r="J79" s="30"/>
      <c r="K79" s="30"/>
      <c r="L79" s="30"/>
      <c r="M79" s="30"/>
      <c r="N79" s="36">
        <f>11500+1283</f>
        <v>12783</v>
      </c>
      <c r="O79" s="37">
        <v>15182</v>
      </c>
      <c r="P79" s="37">
        <v>0</v>
      </c>
      <c r="Q79" s="37">
        <v>15182</v>
      </c>
      <c r="R79" s="37">
        <v>0</v>
      </c>
      <c r="S79" s="37">
        <v>15182</v>
      </c>
      <c r="T79" s="37">
        <v>0</v>
      </c>
      <c r="U79" s="36">
        <v>11500</v>
      </c>
      <c r="V79" s="36">
        <v>11500</v>
      </c>
      <c r="W79" s="2"/>
    </row>
    <row r="80" spans="1:23" ht="45" outlineLevel="5">
      <c r="A80" s="45" t="s">
        <v>219</v>
      </c>
      <c r="B80" s="57">
        <v>922</v>
      </c>
      <c r="C80" s="30" t="s">
        <v>8</v>
      </c>
      <c r="D80" s="30" t="s">
        <v>19</v>
      </c>
      <c r="E80" s="33" t="s">
        <v>218</v>
      </c>
      <c r="F80" s="30" t="s">
        <v>6</v>
      </c>
      <c r="G80" s="30"/>
      <c r="H80" s="30"/>
      <c r="I80" s="30"/>
      <c r="J80" s="30"/>
      <c r="K80" s="30"/>
      <c r="L80" s="30"/>
      <c r="M80" s="30"/>
      <c r="N80" s="36">
        <f>N81</f>
        <v>21000</v>
      </c>
      <c r="O80" s="36">
        <f t="shared" ref="O80:V80" si="22">O81</f>
        <v>0</v>
      </c>
      <c r="P80" s="36">
        <f t="shared" si="22"/>
        <v>0</v>
      </c>
      <c r="Q80" s="36">
        <f t="shared" si="22"/>
        <v>0</v>
      </c>
      <c r="R80" s="36">
        <f t="shared" si="22"/>
        <v>0</v>
      </c>
      <c r="S80" s="36">
        <f t="shared" si="22"/>
        <v>0</v>
      </c>
      <c r="T80" s="36">
        <f t="shared" si="22"/>
        <v>0</v>
      </c>
      <c r="U80" s="36">
        <f t="shared" si="22"/>
        <v>14000</v>
      </c>
      <c r="V80" s="36">
        <f t="shared" si="22"/>
        <v>14000</v>
      </c>
      <c r="W80" s="2"/>
    </row>
    <row r="81" spans="1:23" ht="30" outlineLevel="5">
      <c r="A81" s="29" t="s">
        <v>220</v>
      </c>
      <c r="B81" s="57">
        <v>922</v>
      </c>
      <c r="C81" s="30" t="s">
        <v>8</v>
      </c>
      <c r="D81" s="30" t="s">
        <v>19</v>
      </c>
      <c r="E81" s="33" t="s">
        <v>218</v>
      </c>
      <c r="F81" s="30" t="s">
        <v>15</v>
      </c>
      <c r="G81" s="30"/>
      <c r="H81" s="30"/>
      <c r="I81" s="30"/>
      <c r="J81" s="30"/>
      <c r="K81" s="30"/>
      <c r="L81" s="30"/>
      <c r="M81" s="30"/>
      <c r="N81" s="36">
        <f>N82</f>
        <v>21000</v>
      </c>
      <c r="O81" s="36">
        <f t="shared" ref="O81:V81" si="23">O82</f>
        <v>0</v>
      </c>
      <c r="P81" s="36">
        <f t="shared" si="23"/>
        <v>0</v>
      </c>
      <c r="Q81" s="36">
        <f t="shared" si="23"/>
        <v>0</v>
      </c>
      <c r="R81" s="36">
        <f t="shared" si="23"/>
        <v>0</v>
      </c>
      <c r="S81" s="36">
        <f t="shared" si="23"/>
        <v>0</v>
      </c>
      <c r="T81" s="36">
        <f t="shared" si="23"/>
        <v>0</v>
      </c>
      <c r="U81" s="36">
        <f t="shared" si="23"/>
        <v>14000</v>
      </c>
      <c r="V81" s="36">
        <f t="shared" si="23"/>
        <v>14000</v>
      </c>
      <c r="W81" s="2"/>
    </row>
    <row r="82" spans="1:23" outlineLevel="5">
      <c r="A82" s="29" t="s">
        <v>146</v>
      </c>
      <c r="B82" s="57">
        <v>922</v>
      </c>
      <c r="C82" s="30" t="s">
        <v>8</v>
      </c>
      <c r="D82" s="30" t="s">
        <v>19</v>
      </c>
      <c r="E82" s="33" t="s">
        <v>218</v>
      </c>
      <c r="F82" s="30" t="s">
        <v>15</v>
      </c>
      <c r="G82" s="30"/>
      <c r="H82" s="30" t="s">
        <v>140</v>
      </c>
      <c r="I82" s="30"/>
      <c r="J82" s="30"/>
      <c r="K82" s="30"/>
      <c r="L82" s="30"/>
      <c r="M82" s="30"/>
      <c r="N82" s="36">
        <f>14000+7000</f>
        <v>21000</v>
      </c>
      <c r="O82" s="37"/>
      <c r="P82" s="37"/>
      <c r="Q82" s="37"/>
      <c r="R82" s="37"/>
      <c r="S82" s="37"/>
      <c r="T82" s="37"/>
      <c r="U82" s="36">
        <v>14000</v>
      </c>
      <c r="V82" s="36">
        <v>14000</v>
      </c>
      <c r="W82" s="2"/>
    </row>
    <row r="83" spans="1:23" ht="36.75" customHeight="1" outlineLevel="3">
      <c r="A83" s="29" t="s">
        <v>57</v>
      </c>
      <c r="B83" s="30" t="s">
        <v>28</v>
      </c>
      <c r="C83" s="30" t="s">
        <v>8</v>
      </c>
      <c r="D83" s="30" t="s">
        <v>19</v>
      </c>
      <c r="E83" s="30" t="s">
        <v>58</v>
      </c>
      <c r="F83" s="30" t="s">
        <v>6</v>
      </c>
      <c r="G83" s="30" t="s">
        <v>6</v>
      </c>
      <c r="H83" s="30"/>
      <c r="I83" s="30"/>
      <c r="J83" s="30"/>
      <c r="K83" s="30"/>
      <c r="L83" s="30"/>
      <c r="M83" s="30"/>
      <c r="N83" s="36">
        <f>N84</f>
        <v>663020</v>
      </c>
      <c r="O83" s="36">
        <f t="shared" ref="O83:V83" si="24">O84</f>
        <v>0</v>
      </c>
      <c r="P83" s="36">
        <f t="shared" si="24"/>
        <v>0</v>
      </c>
      <c r="Q83" s="36">
        <f t="shared" si="24"/>
        <v>0</v>
      </c>
      <c r="R83" s="36">
        <f t="shared" si="24"/>
        <v>0</v>
      </c>
      <c r="S83" s="36">
        <f t="shared" si="24"/>
        <v>0</v>
      </c>
      <c r="T83" s="36">
        <f t="shared" si="24"/>
        <v>0</v>
      </c>
      <c r="U83" s="36">
        <f t="shared" si="24"/>
        <v>625020</v>
      </c>
      <c r="V83" s="36">
        <f t="shared" si="24"/>
        <v>625020</v>
      </c>
      <c r="W83" s="2"/>
    </row>
    <row r="84" spans="1:23" ht="30.75" customHeight="1" outlineLevel="5">
      <c r="A84" s="29" t="s">
        <v>14</v>
      </c>
      <c r="B84" s="30" t="s">
        <v>28</v>
      </c>
      <c r="C84" s="30" t="s">
        <v>8</v>
      </c>
      <c r="D84" s="30" t="s">
        <v>19</v>
      </c>
      <c r="E84" s="30" t="s">
        <v>58</v>
      </c>
      <c r="F84" s="30" t="s">
        <v>15</v>
      </c>
      <c r="G84" s="30" t="s">
        <v>6</v>
      </c>
      <c r="H84" s="30"/>
      <c r="I84" s="30"/>
      <c r="J84" s="30"/>
      <c r="K84" s="30"/>
      <c r="L84" s="30"/>
      <c r="M84" s="30"/>
      <c r="N84" s="36">
        <f>N85</f>
        <v>663020</v>
      </c>
      <c r="O84" s="36">
        <f t="shared" ref="O84:V84" si="25">O85</f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625020</v>
      </c>
      <c r="V84" s="36">
        <f t="shared" si="25"/>
        <v>625020</v>
      </c>
      <c r="W84" s="2"/>
    </row>
    <row r="85" spans="1:23" outlineLevel="5">
      <c r="A85" s="29" t="s">
        <v>146</v>
      </c>
      <c r="B85" s="30" t="s">
        <v>28</v>
      </c>
      <c r="C85" s="30" t="s">
        <v>8</v>
      </c>
      <c r="D85" s="30" t="s">
        <v>19</v>
      </c>
      <c r="E85" s="30" t="s">
        <v>58</v>
      </c>
      <c r="F85" s="30" t="s">
        <v>15</v>
      </c>
      <c r="G85" s="30"/>
      <c r="H85" s="30" t="s">
        <v>140</v>
      </c>
      <c r="I85" s="30"/>
      <c r="J85" s="30"/>
      <c r="K85" s="30"/>
      <c r="L85" s="30"/>
      <c r="M85" s="30"/>
      <c r="N85" s="36">
        <f>625020+38000</f>
        <v>663020</v>
      </c>
      <c r="O85" s="37"/>
      <c r="P85" s="37"/>
      <c r="Q85" s="37"/>
      <c r="R85" s="37"/>
      <c r="S85" s="37"/>
      <c r="T85" s="37"/>
      <c r="U85" s="36">
        <v>625020</v>
      </c>
      <c r="V85" s="36">
        <v>625020</v>
      </c>
      <c r="W85" s="2"/>
    </row>
    <row r="86" spans="1:23" ht="30" outlineLevel="3">
      <c r="A86" s="29" t="s">
        <v>59</v>
      </c>
      <c r="B86" s="30" t="s">
        <v>28</v>
      </c>
      <c r="C86" s="30" t="s">
        <v>8</v>
      </c>
      <c r="D86" s="30" t="s">
        <v>19</v>
      </c>
      <c r="E86" s="30" t="s">
        <v>60</v>
      </c>
      <c r="F86" s="30" t="s">
        <v>6</v>
      </c>
      <c r="G86" s="30" t="s">
        <v>6</v>
      </c>
      <c r="H86" s="30"/>
      <c r="I86" s="30"/>
      <c r="J86" s="30"/>
      <c r="K86" s="30"/>
      <c r="L86" s="30"/>
      <c r="M86" s="30"/>
      <c r="N86" s="36">
        <f>N87</f>
        <v>0</v>
      </c>
      <c r="O86" s="37">
        <v>30000</v>
      </c>
      <c r="P86" s="37">
        <v>0</v>
      </c>
      <c r="Q86" s="37">
        <v>30000</v>
      </c>
      <c r="R86" s="37">
        <v>0</v>
      </c>
      <c r="S86" s="37">
        <v>30000</v>
      </c>
      <c r="T86" s="37">
        <v>0</v>
      </c>
      <c r="U86" s="36">
        <v>30000</v>
      </c>
      <c r="V86" s="36">
        <v>30000</v>
      </c>
      <c r="W86" s="2"/>
    </row>
    <row r="87" spans="1:23" ht="18" customHeight="1" outlineLevel="5">
      <c r="A87" s="29" t="s">
        <v>203</v>
      </c>
      <c r="B87" s="30" t="s">
        <v>28</v>
      </c>
      <c r="C87" s="30" t="s">
        <v>8</v>
      </c>
      <c r="D87" s="30" t="s">
        <v>19</v>
      </c>
      <c r="E87" s="30" t="s">
        <v>60</v>
      </c>
      <c r="F87" s="30" t="s">
        <v>26</v>
      </c>
      <c r="G87" s="30" t="s">
        <v>6</v>
      </c>
      <c r="H87" s="30"/>
      <c r="I87" s="30"/>
      <c r="J87" s="30"/>
      <c r="K87" s="30"/>
      <c r="L87" s="30"/>
      <c r="M87" s="30"/>
      <c r="N87" s="36">
        <v>0</v>
      </c>
      <c r="O87" s="37">
        <v>30000</v>
      </c>
      <c r="P87" s="37">
        <v>0</v>
      </c>
      <c r="Q87" s="37">
        <v>30000</v>
      </c>
      <c r="R87" s="37">
        <v>0</v>
      </c>
      <c r="S87" s="37">
        <v>30000</v>
      </c>
      <c r="T87" s="37">
        <v>0</v>
      </c>
      <c r="U87" s="36">
        <v>30000</v>
      </c>
      <c r="V87" s="36">
        <v>30000</v>
      </c>
      <c r="W87" s="2"/>
    </row>
    <row r="88" spans="1:23" ht="33.75" customHeight="1" outlineLevel="5">
      <c r="A88" s="32" t="s">
        <v>213</v>
      </c>
      <c r="B88" s="30">
        <v>922</v>
      </c>
      <c r="C88" s="33" t="s">
        <v>8</v>
      </c>
      <c r="D88" s="30">
        <v>13</v>
      </c>
      <c r="E88" s="33" t="s">
        <v>212</v>
      </c>
      <c r="F88" s="33" t="s">
        <v>6</v>
      </c>
      <c r="G88" s="30"/>
      <c r="H88" s="30"/>
      <c r="I88" s="30"/>
      <c r="J88" s="30"/>
      <c r="K88" s="30"/>
      <c r="L88" s="30"/>
      <c r="M88" s="30"/>
      <c r="N88" s="36">
        <f>N89</f>
        <v>197029</v>
      </c>
      <c r="O88" s="36">
        <f t="shared" ref="O88:V88" si="26">O89</f>
        <v>0</v>
      </c>
      <c r="P88" s="36">
        <f t="shared" si="26"/>
        <v>0</v>
      </c>
      <c r="Q88" s="36">
        <f t="shared" si="26"/>
        <v>0</v>
      </c>
      <c r="R88" s="36">
        <f t="shared" si="26"/>
        <v>0</v>
      </c>
      <c r="S88" s="36">
        <f t="shared" si="26"/>
        <v>0</v>
      </c>
      <c r="T88" s="36">
        <f t="shared" si="26"/>
        <v>0</v>
      </c>
      <c r="U88" s="36">
        <f t="shared" si="26"/>
        <v>230029</v>
      </c>
      <c r="V88" s="36">
        <f t="shared" si="26"/>
        <v>230029</v>
      </c>
      <c r="W88" s="2"/>
    </row>
    <row r="89" spans="1:23" ht="33.75" customHeight="1" outlineLevel="5">
      <c r="A89" s="29" t="s">
        <v>14</v>
      </c>
      <c r="B89" s="30" t="s">
        <v>28</v>
      </c>
      <c r="C89" s="30" t="s">
        <v>8</v>
      </c>
      <c r="D89" s="30" t="s">
        <v>19</v>
      </c>
      <c r="E89" s="33" t="s">
        <v>212</v>
      </c>
      <c r="F89" s="30" t="s">
        <v>15</v>
      </c>
      <c r="G89" s="30" t="s">
        <v>6</v>
      </c>
      <c r="H89" s="30"/>
      <c r="I89" s="30"/>
      <c r="J89" s="30"/>
      <c r="K89" s="30"/>
      <c r="L89" s="30"/>
      <c r="M89" s="30"/>
      <c r="N89" s="36">
        <f>N90+N91</f>
        <v>197029</v>
      </c>
      <c r="O89" s="36">
        <f t="shared" ref="O89:V89" si="27">O90+O91</f>
        <v>0</v>
      </c>
      <c r="P89" s="36">
        <f t="shared" si="27"/>
        <v>0</v>
      </c>
      <c r="Q89" s="36">
        <f t="shared" si="27"/>
        <v>0</v>
      </c>
      <c r="R89" s="36">
        <f t="shared" si="27"/>
        <v>0</v>
      </c>
      <c r="S89" s="36">
        <f t="shared" si="27"/>
        <v>0</v>
      </c>
      <c r="T89" s="36">
        <f t="shared" si="27"/>
        <v>0</v>
      </c>
      <c r="U89" s="36">
        <f t="shared" si="27"/>
        <v>230029</v>
      </c>
      <c r="V89" s="36">
        <f t="shared" si="27"/>
        <v>230029</v>
      </c>
      <c r="W89" s="2"/>
    </row>
    <row r="90" spans="1:23" ht="19.5" customHeight="1" outlineLevel="5">
      <c r="A90" s="29" t="s">
        <v>146</v>
      </c>
      <c r="B90" s="30" t="s">
        <v>28</v>
      </c>
      <c r="C90" s="30" t="s">
        <v>8</v>
      </c>
      <c r="D90" s="30" t="s">
        <v>19</v>
      </c>
      <c r="E90" s="33" t="s">
        <v>212</v>
      </c>
      <c r="F90" s="30" t="s">
        <v>15</v>
      </c>
      <c r="G90" s="30"/>
      <c r="H90" s="30" t="s">
        <v>140</v>
      </c>
      <c r="I90" s="30"/>
      <c r="J90" s="30"/>
      <c r="K90" s="30"/>
      <c r="L90" s="30"/>
      <c r="M90" s="30"/>
      <c r="N90" s="36">
        <f>158004-33000</f>
        <v>125004</v>
      </c>
      <c r="O90" s="37"/>
      <c r="P90" s="37"/>
      <c r="Q90" s="37"/>
      <c r="R90" s="37"/>
      <c r="S90" s="37"/>
      <c r="T90" s="37"/>
      <c r="U90" s="36">
        <v>158004</v>
      </c>
      <c r="V90" s="36">
        <v>158004</v>
      </c>
      <c r="W90" s="2"/>
    </row>
    <row r="91" spans="1:23" ht="19.5" customHeight="1" outlineLevel="5">
      <c r="A91" s="29" t="s">
        <v>199</v>
      </c>
      <c r="B91" s="30" t="s">
        <v>28</v>
      </c>
      <c r="C91" s="30" t="s">
        <v>8</v>
      </c>
      <c r="D91" s="30" t="s">
        <v>19</v>
      </c>
      <c r="E91" s="33" t="s">
        <v>212</v>
      </c>
      <c r="F91" s="30" t="s">
        <v>15</v>
      </c>
      <c r="G91" s="30"/>
      <c r="H91" s="30" t="s">
        <v>143</v>
      </c>
      <c r="I91" s="30"/>
      <c r="J91" s="30"/>
      <c r="K91" s="30"/>
      <c r="L91" s="30"/>
      <c r="M91" s="30"/>
      <c r="N91" s="36">
        <v>72025</v>
      </c>
      <c r="O91" s="37"/>
      <c r="P91" s="37"/>
      <c r="Q91" s="37"/>
      <c r="R91" s="37"/>
      <c r="S91" s="37"/>
      <c r="T91" s="37"/>
      <c r="U91" s="36">
        <v>72025</v>
      </c>
      <c r="V91" s="36">
        <v>72025</v>
      </c>
      <c r="W91" s="2"/>
    </row>
    <row r="92" spans="1:23" ht="77.25" customHeight="1" outlineLevel="3">
      <c r="A92" s="29" t="s">
        <v>251</v>
      </c>
      <c r="B92" s="30" t="s">
        <v>28</v>
      </c>
      <c r="C92" s="30" t="s">
        <v>8</v>
      </c>
      <c r="D92" s="30" t="s">
        <v>19</v>
      </c>
      <c r="E92" s="30" t="s">
        <v>61</v>
      </c>
      <c r="F92" s="30" t="s">
        <v>6</v>
      </c>
      <c r="G92" s="30" t="s">
        <v>6</v>
      </c>
      <c r="H92" s="30"/>
      <c r="I92" s="30"/>
      <c r="J92" s="30"/>
      <c r="K92" s="30"/>
      <c r="L92" s="30"/>
      <c r="M92" s="30"/>
      <c r="N92" s="36">
        <v>3850</v>
      </c>
      <c r="O92" s="37">
        <v>3850</v>
      </c>
      <c r="P92" s="37">
        <v>0</v>
      </c>
      <c r="Q92" s="37">
        <v>3850</v>
      </c>
      <c r="R92" s="37">
        <v>0</v>
      </c>
      <c r="S92" s="37">
        <v>3850</v>
      </c>
      <c r="T92" s="37">
        <v>0</v>
      </c>
      <c r="U92" s="36">
        <v>3850</v>
      </c>
      <c r="V92" s="36">
        <v>3850</v>
      </c>
      <c r="W92" s="2"/>
    </row>
    <row r="93" spans="1:23" outlineLevel="5">
      <c r="A93" s="29" t="s">
        <v>39</v>
      </c>
      <c r="B93" s="30" t="s">
        <v>28</v>
      </c>
      <c r="C93" s="30" t="s">
        <v>8</v>
      </c>
      <c r="D93" s="30" t="s">
        <v>19</v>
      </c>
      <c r="E93" s="30" t="s">
        <v>61</v>
      </c>
      <c r="F93" s="30" t="s">
        <v>40</v>
      </c>
      <c r="G93" s="30" t="s">
        <v>6</v>
      </c>
      <c r="H93" s="30"/>
      <c r="I93" s="30"/>
      <c r="J93" s="30"/>
      <c r="K93" s="30"/>
      <c r="L93" s="30"/>
      <c r="M93" s="30"/>
      <c r="N93" s="36">
        <v>3850</v>
      </c>
      <c r="O93" s="37">
        <v>3850</v>
      </c>
      <c r="P93" s="37">
        <v>0</v>
      </c>
      <c r="Q93" s="37">
        <v>3850</v>
      </c>
      <c r="R93" s="37">
        <v>0</v>
      </c>
      <c r="S93" s="37">
        <v>3850</v>
      </c>
      <c r="T93" s="37">
        <v>0</v>
      </c>
      <c r="U93" s="36">
        <v>3850</v>
      </c>
      <c r="V93" s="36">
        <v>3850</v>
      </c>
      <c r="W93" s="2"/>
    </row>
    <row r="94" spans="1:23" ht="78" customHeight="1" outlineLevel="3">
      <c r="A94" s="29" t="s">
        <v>62</v>
      </c>
      <c r="B94" s="30" t="s">
        <v>28</v>
      </c>
      <c r="C94" s="30" t="s">
        <v>8</v>
      </c>
      <c r="D94" s="30" t="s">
        <v>19</v>
      </c>
      <c r="E94" s="30" t="s">
        <v>63</v>
      </c>
      <c r="F94" s="30" t="s">
        <v>6</v>
      </c>
      <c r="G94" s="30" t="s">
        <v>6</v>
      </c>
      <c r="H94" s="30"/>
      <c r="I94" s="30"/>
      <c r="J94" s="30"/>
      <c r="K94" s="30"/>
      <c r="L94" s="30"/>
      <c r="M94" s="30"/>
      <c r="N94" s="36">
        <f>N95</f>
        <v>546666.26</v>
      </c>
      <c r="O94" s="36">
        <f t="shared" ref="O94:V94" si="28">O95</f>
        <v>0</v>
      </c>
      <c r="P94" s="36">
        <f t="shared" si="28"/>
        <v>0</v>
      </c>
      <c r="Q94" s="36">
        <f t="shared" si="28"/>
        <v>0</v>
      </c>
      <c r="R94" s="36">
        <f t="shared" si="28"/>
        <v>0</v>
      </c>
      <c r="S94" s="36">
        <f t="shared" si="28"/>
        <v>0</v>
      </c>
      <c r="T94" s="36">
        <f t="shared" si="28"/>
        <v>0</v>
      </c>
      <c r="U94" s="36">
        <f t="shared" si="28"/>
        <v>539666.26</v>
      </c>
      <c r="V94" s="36">
        <f t="shared" si="28"/>
        <v>539666.26</v>
      </c>
      <c r="W94" s="2"/>
    </row>
    <row r="95" spans="1:23" ht="33.75" customHeight="1" outlineLevel="5">
      <c r="A95" s="29" t="s">
        <v>14</v>
      </c>
      <c r="B95" s="30" t="s">
        <v>28</v>
      </c>
      <c r="C95" s="30" t="s">
        <v>8</v>
      </c>
      <c r="D95" s="30" t="s">
        <v>19</v>
      </c>
      <c r="E95" s="30" t="s">
        <v>63</v>
      </c>
      <c r="F95" s="30" t="s">
        <v>15</v>
      </c>
      <c r="G95" s="30" t="s">
        <v>6</v>
      </c>
      <c r="H95" s="30"/>
      <c r="I95" s="30"/>
      <c r="J95" s="30"/>
      <c r="K95" s="30"/>
      <c r="L95" s="30"/>
      <c r="M95" s="30"/>
      <c r="N95" s="36">
        <f t="shared" ref="N95:V95" si="29">SUM(N96:N100)</f>
        <v>546666.26</v>
      </c>
      <c r="O95" s="36">
        <f t="shared" si="29"/>
        <v>0</v>
      </c>
      <c r="P95" s="36">
        <f t="shared" si="29"/>
        <v>0</v>
      </c>
      <c r="Q95" s="36">
        <f t="shared" si="29"/>
        <v>0</v>
      </c>
      <c r="R95" s="36">
        <f t="shared" si="29"/>
        <v>0</v>
      </c>
      <c r="S95" s="36">
        <f t="shared" si="29"/>
        <v>0</v>
      </c>
      <c r="T95" s="36">
        <f t="shared" si="29"/>
        <v>0</v>
      </c>
      <c r="U95" s="36">
        <f t="shared" si="29"/>
        <v>539666.26</v>
      </c>
      <c r="V95" s="36">
        <f t="shared" si="29"/>
        <v>539666.26</v>
      </c>
      <c r="W95" s="2"/>
    </row>
    <row r="96" spans="1:23" outlineLevel="5">
      <c r="A96" s="29" t="s">
        <v>144</v>
      </c>
      <c r="B96" s="30" t="s">
        <v>28</v>
      </c>
      <c r="C96" s="30" t="s">
        <v>8</v>
      </c>
      <c r="D96" s="30" t="s">
        <v>19</v>
      </c>
      <c r="E96" s="30" t="s">
        <v>63</v>
      </c>
      <c r="F96" s="30" t="s">
        <v>15</v>
      </c>
      <c r="G96" s="30"/>
      <c r="H96" s="30" t="s">
        <v>138</v>
      </c>
      <c r="I96" s="30"/>
      <c r="J96" s="30"/>
      <c r="K96" s="30"/>
      <c r="L96" s="30"/>
      <c r="M96" s="30"/>
      <c r="N96" s="36">
        <v>7670</v>
      </c>
      <c r="O96" s="37"/>
      <c r="P96" s="37"/>
      <c r="Q96" s="37"/>
      <c r="R96" s="37"/>
      <c r="S96" s="37"/>
      <c r="T96" s="37"/>
      <c r="U96" s="36">
        <v>7670</v>
      </c>
      <c r="V96" s="36">
        <v>7670</v>
      </c>
      <c r="W96" s="2"/>
    </row>
    <row r="97" spans="1:23" outlineLevel="5">
      <c r="A97" s="29" t="s">
        <v>242</v>
      </c>
      <c r="B97" s="30">
        <v>922</v>
      </c>
      <c r="C97" s="33" t="s">
        <v>8</v>
      </c>
      <c r="D97" s="33">
        <v>13</v>
      </c>
      <c r="E97" s="33" t="s">
        <v>63</v>
      </c>
      <c r="F97" s="30">
        <v>200</v>
      </c>
      <c r="G97" s="30"/>
      <c r="H97" s="30" t="s">
        <v>241</v>
      </c>
      <c r="I97" s="30"/>
      <c r="J97" s="30"/>
      <c r="K97" s="30"/>
      <c r="L97" s="30"/>
      <c r="M97" s="30"/>
      <c r="N97" s="36">
        <f>52500-39900</f>
        <v>12600</v>
      </c>
      <c r="O97" s="37"/>
      <c r="P97" s="37"/>
      <c r="Q97" s="37"/>
      <c r="R97" s="37"/>
      <c r="S97" s="37"/>
      <c r="T97" s="37"/>
      <c r="U97" s="36">
        <v>52500</v>
      </c>
      <c r="V97" s="36">
        <v>52500</v>
      </c>
      <c r="W97" s="2"/>
    </row>
    <row r="98" spans="1:23" outlineLevel="5">
      <c r="A98" s="29" t="s">
        <v>145</v>
      </c>
      <c r="B98" s="30" t="s">
        <v>28</v>
      </c>
      <c r="C98" s="30" t="s">
        <v>8</v>
      </c>
      <c r="D98" s="30" t="s">
        <v>19</v>
      </c>
      <c r="E98" s="30" t="s">
        <v>63</v>
      </c>
      <c r="F98" s="30" t="s">
        <v>15</v>
      </c>
      <c r="G98" s="30"/>
      <c r="H98" s="30" t="s">
        <v>139</v>
      </c>
      <c r="I98" s="30"/>
      <c r="J98" s="30"/>
      <c r="K98" s="30"/>
      <c r="L98" s="30"/>
      <c r="M98" s="30"/>
      <c r="N98" s="36">
        <f>7050+2000</f>
        <v>9050</v>
      </c>
      <c r="O98" s="37"/>
      <c r="P98" s="37"/>
      <c r="Q98" s="37"/>
      <c r="R98" s="37"/>
      <c r="S98" s="37"/>
      <c r="T98" s="37"/>
      <c r="U98" s="36">
        <v>7050</v>
      </c>
      <c r="V98" s="36">
        <v>7050</v>
      </c>
      <c r="W98" s="2"/>
    </row>
    <row r="99" spans="1:23" outlineLevel="5">
      <c r="A99" s="29" t="s">
        <v>146</v>
      </c>
      <c r="B99" s="30" t="s">
        <v>28</v>
      </c>
      <c r="C99" s="30" t="s">
        <v>8</v>
      </c>
      <c r="D99" s="30" t="s">
        <v>19</v>
      </c>
      <c r="E99" s="30" t="s">
        <v>63</v>
      </c>
      <c r="F99" s="30" t="s">
        <v>15</v>
      </c>
      <c r="G99" s="30"/>
      <c r="H99" s="30" t="s">
        <v>140</v>
      </c>
      <c r="I99" s="30"/>
      <c r="J99" s="30"/>
      <c r="K99" s="30"/>
      <c r="L99" s="30"/>
      <c r="M99" s="30"/>
      <c r="N99" s="36">
        <f>461046.26+7000+37900</f>
        <v>505946.26</v>
      </c>
      <c r="O99" s="37"/>
      <c r="P99" s="37"/>
      <c r="Q99" s="37"/>
      <c r="R99" s="37"/>
      <c r="S99" s="37"/>
      <c r="T99" s="37"/>
      <c r="U99" s="36">
        <v>461046.26</v>
      </c>
      <c r="V99" s="36">
        <v>461046.26</v>
      </c>
      <c r="W99" s="2"/>
    </row>
    <row r="100" spans="1:23" ht="22.5" customHeight="1" outlineLevel="5">
      <c r="A100" s="29" t="s">
        <v>199</v>
      </c>
      <c r="B100" s="30" t="s">
        <v>28</v>
      </c>
      <c r="C100" s="30" t="s">
        <v>8</v>
      </c>
      <c r="D100" s="30" t="s">
        <v>19</v>
      </c>
      <c r="E100" s="30" t="s">
        <v>63</v>
      </c>
      <c r="F100" s="30" t="s">
        <v>15</v>
      </c>
      <c r="G100" s="30"/>
      <c r="H100" s="30" t="s">
        <v>143</v>
      </c>
      <c r="I100" s="30"/>
      <c r="J100" s="30"/>
      <c r="K100" s="30"/>
      <c r="L100" s="30"/>
      <c r="M100" s="30"/>
      <c r="N100" s="36">
        <v>11400</v>
      </c>
      <c r="O100" s="37"/>
      <c r="P100" s="37"/>
      <c r="Q100" s="37"/>
      <c r="R100" s="37"/>
      <c r="S100" s="37"/>
      <c r="T100" s="37"/>
      <c r="U100" s="36">
        <v>11400</v>
      </c>
      <c r="V100" s="36">
        <v>11400</v>
      </c>
      <c r="W100" s="2"/>
    </row>
    <row r="101" spans="1:23" ht="45" outlineLevel="3">
      <c r="A101" s="29" t="s">
        <v>22</v>
      </c>
      <c r="B101" s="30" t="s">
        <v>28</v>
      </c>
      <c r="C101" s="30" t="s">
        <v>8</v>
      </c>
      <c r="D101" s="30" t="s">
        <v>19</v>
      </c>
      <c r="E101" s="30" t="s">
        <v>23</v>
      </c>
      <c r="F101" s="30" t="s">
        <v>6</v>
      </c>
      <c r="G101" s="30" t="s">
        <v>6</v>
      </c>
      <c r="H101" s="30"/>
      <c r="I101" s="30"/>
      <c r="J101" s="30"/>
      <c r="K101" s="30"/>
      <c r="L101" s="30"/>
      <c r="M101" s="30"/>
      <c r="N101" s="36">
        <f>N102</f>
        <v>46030</v>
      </c>
      <c r="O101" s="36">
        <f t="shared" ref="O101:V101" si="30">O102</f>
        <v>0</v>
      </c>
      <c r="P101" s="36">
        <f t="shared" si="30"/>
        <v>0</v>
      </c>
      <c r="Q101" s="36">
        <f t="shared" si="30"/>
        <v>0</v>
      </c>
      <c r="R101" s="36">
        <f t="shared" si="30"/>
        <v>0</v>
      </c>
      <c r="S101" s="36">
        <f t="shared" si="30"/>
        <v>0</v>
      </c>
      <c r="T101" s="36">
        <f t="shared" si="30"/>
        <v>0</v>
      </c>
      <c r="U101" s="36">
        <f t="shared" si="30"/>
        <v>76030</v>
      </c>
      <c r="V101" s="36">
        <f t="shared" si="30"/>
        <v>76030</v>
      </c>
      <c r="W101" s="2"/>
    </row>
    <row r="102" spans="1:23" ht="31.5" customHeight="1" outlineLevel="5">
      <c r="A102" s="29" t="s">
        <v>14</v>
      </c>
      <c r="B102" s="30" t="s">
        <v>28</v>
      </c>
      <c r="C102" s="30" t="s">
        <v>8</v>
      </c>
      <c r="D102" s="30" t="s">
        <v>19</v>
      </c>
      <c r="E102" s="30" t="s">
        <v>23</v>
      </c>
      <c r="F102" s="30" t="s">
        <v>15</v>
      </c>
      <c r="G102" s="30" t="s">
        <v>6</v>
      </c>
      <c r="H102" s="30"/>
      <c r="I102" s="30"/>
      <c r="J102" s="30"/>
      <c r="K102" s="30"/>
      <c r="L102" s="30"/>
      <c r="M102" s="30"/>
      <c r="N102" s="36">
        <f>N104+N105+N103</f>
        <v>46030</v>
      </c>
      <c r="O102" s="36">
        <f t="shared" ref="O102:V102" si="31">O104+O105+O103</f>
        <v>0</v>
      </c>
      <c r="P102" s="36">
        <f t="shared" si="31"/>
        <v>0</v>
      </c>
      <c r="Q102" s="36">
        <f t="shared" si="31"/>
        <v>0</v>
      </c>
      <c r="R102" s="36">
        <f t="shared" si="31"/>
        <v>0</v>
      </c>
      <c r="S102" s="36">
        <f t="shared" si="31"/>
        <v>0</v>
      </c>
      <c r="T102" s="36">
        <f t="shared" si="31"/>
        <v>0</v>
      </c>
      <c r="U102" s="36">
        <f t="shared" si="31"/>
        <v>76030</v>
      </c>
      <c r="V102" s="36">
        <f t="shared" si="31"/>
        <v>76030</v>
      </c>
      <c r="W102" s="2"/>
    </row>
    <row r="103" spans="1:23" ht="19.5" customHeight="1" outlineLevel="5">
      <c r="A103" s="29" t="s">
        <v>146</v>
      </c>
      <c r="B103" s="30" t="s">
        <v>28</v>
      </c>
      <c r="C103" s="30" t="s">
        <v>8</v>
      </c>
      <c r="D103" s="30" t="s">
        <v>19</v>
      </c>
      <c r="E103" s="30" t="s">
        <v>23</v>
      </c>
      <c r="F103" s="30" t="s">
        <v>15</v>
      </c>
      <c r="G103" s="30"/>
      <c r="H103" s="30" t="s">
        <v>214</v>
      </c>
      <c r="I103" s="30"/>
      <c r="J103" s="30"/>
      <c r="K103" s="30"/>
      <c r="L103" s="30"/>
      <c r="M103" s="30"/>
      <c r="N103" s="36">
        <f>18000+4000</f>
        <v>22000</v>
      </c>
      <c r="O103" s="36"/>
      <c r="P103" s="36"/>
      <c r="Q103" s="36"/>
      <c r="R103" s="36"/>
      <c r="S103" s="36"/>
      <c r="T103" s="36"/>
      <c r="U103" s="36">
        <v>18000</v>
      </c>
      <c r="V103" s="36">
        <v>18000</v>
      </c>
      <c r="W103" s="2"/>
    </row>
    <row r="104" spans="1:23" ht="19.5" customHeight="1" outlineLevel="5">
      <c r="A104" s="29" t="s">
        <v>199</v>
      </c>
      <c r="B104" s="30" t="s">
        <v>28</v>
      </c>
      <c r="C104" s="30" t="s">
        <v>8</v>
      </c>
      <c r="D104" s="30" t="s">
        <v>19</v>
      </c>
      <c r="E104" s="30" t="s">
        <v>23</v>
      </c>
      <c r="F104" s="30" t="s">
        <v>15</v>
      </c>
      <c r="G104" s="30"/>
      <c r="H104" s="30" t="s">
        <v>143</v>
      </c>
      <c r="I104" s="30"/>
      <c r="J104" s="30"/>
      <c r="K104" s="30"/>
      <c r="L104" s="30"/>
      <c r="M104" s="30"/>
      <c r="N104" s="36">
        <f>1130-1130</f>
        <v>0</v>
      </c>
      <c r="O104" s="37"/>
      <c r="P104" s="37"/>
      <c r="Q104" s="37"/>
      <c r="R104" s="37"/>
      <c r="S104" s="37"/>
      <c r="T104" s="37"/>
      <c r="U104" s="36">
        <v>1130</v>
      </c>
      <c r="V104" s="36">
        <v>1130</v>
      </c>
      <c r="W104" s="2"/>
    </row>
    <row r="105" spans="1:23" ht="30" outlineLevel="5">
      <c r="A105" s="29" t="s">
        <v>150</v>
      </c>
      <c r="B105" s="30" t="s">
        <v>28</v>
      </c>
      <c r="C105" s="30" t="s">
        <v>8</v>
      </c>
      <c r="D105" s="30" t="s">
        <v>19</v>
      </c>
      <c r="E105" s="30" t="s">
        <v>23</v>
      </c>
      <c r="F105" s="30" t="s">
        <v>15</v>
      </c>
      <c r="G105" s="30"/>
      <c r="H105" s="30" t="s">
        <v>149</v>
      </c>
      <c r="I105" s="30"/>
      <c r="J105" s="30"/>
      <c r="K105" s="30"/>
      <c r="L105" s="30"/>
      <c r="M105" s="30"/>
      <c r="N105" s="36">
        <f>56900-4000-28870</f>
        <v>24030</v>
      </c>
      <c r="O105" s="37"/>
      <c r="P105" s="37"/>
      <c r="Q105" s="37"/>
      <c r="R105" s="37"/>
      <c r="S105" s="37"/>
      <c r="T105" s="37"/>
      <c r="U105" s="36">
        <v>56900</v>
      </c>
      <c r="V105" s="36">
        <v>56900</v>
      </c>
      <c r="W105" s="2"/>
    </row>
    <row r="106" spans="1:23" ht="33.75" customHeight="1" outlineLevel="3">
      <c r="A106" s="29" t="s">
        <v>24</v>
      </c>
      <c r="B106" s="30" t="s">
        <v>28</v>
      </c>
      <c r="C106" s="30" t="s">
        <v>8</v>
      </c>
      <c r="D106" s="30" t="s">
        <v>19</v>
      </c>
      <c r="E106" s="30" t="s">
        <v>25</v>
      </c>
      <c r="F106" s="30" t="s">
        <v>6</v>
      </c>
      <c r="G106" s="30" t="s">
        <v>6</v>
      </c>
      <c r="H106" s="30"/>
      <c r="I106" s="30"/>
      <c r="J106" s="30"/>
      <c r="K106" s="30"/>
      <c r="L106" s="30"/>
      <c r="M106" s="30"/>
      <c r="N106" s="36">
        <f>N107</f>
        <v>0</v>
      </c>
      <c r="O106" s="36">
        <f t="shared" ref="O106:V106" si="32">O107</f>
        <v>11500</v>
      </c>
      <c r="P106" s="36">
        <f t="shared" si="32"/>
        <v>0</v>
      </c>
      <c r="Q106" s="36">
        <f t="shared" si="32"/>
        <v>11500</v>
      </c>
      <c r="R106" s="36">
        <f t="shared" si="32"/>
        <v>0</v>
      </c>
      <c r="S106" s="36">
        <f t="shared" si="32"/>
        <v>11500</v>
      </c>
      <c r="T106" s="36">
        <f t="shared" si="32"/>
        <v>0</v>
      </c>
      <c r="U106" s="36">
        <f t="shared" si="32"/>
        <v>5750</v>
      </c>
      <c r="V106" s="36">
        <f t="shared" si="32"/>
        <v>5750</v>
      </c>
      <c r="W106" s="2"/>
    </row>
    <row r="107" spans="1:23" ht="23.25" customHeight="1" outlineLevel="5">
      <c r="A107" s="29" t="s">
        <v>203</v>
      </c>
      <c r="B107" s="30" t="s">
        <v>28</v>
      </c>
      <c r="C107" s="30" t="s">
        <v>8</v>
      </c>
      <c r="D107" s="30" t="s">
        <v>19</v>
      </c>
      <c r="E107" s="30" t="s">
        <v>25</v>
      </c>
      <c r="F107" s="30" t="s">
        <v>26</v>
      </c>
      <c r="G107" s="30" t="s">
        <v>6</v>
      </c>
      <c r="H107" s="30"/>
      <c r="I107" s="30"/>
      <c r="J107" s="30"/>
      <c r="K107" s="30"/>
      <c r="L107" s="30"/>
      <c r="M107" s="30"/>
      <c r="N107" s="36">
        <v>0</v>
      </c>
      <c r="O107" s="37">
        <v>11500</v>
      </c>
      <c r="P107" s="37">
        <v>0</v>
      </c>
      <c r="Q107" s="37">
        <v>11500</v>
      </c>
      <c r="R107" s="37">
        <v>0</v>
      </c>
      <c r="S107" s="37">
        <v>11500</v>
      </c>
      <c r="T107" s="37">
        <v>0</v>
      </c>
      <c r="U107" s="36">
        <v>5750</v>
      </c>
      <c r="V107" s="36">
        <v>5750</v>
      </c>
      <c r="W107" s="2"/>
    </row>
    <row r="108" spans="1:23" ht="30" outlineLevel="3">
      <c r="A108" s="29" t="s">
        <v>64</v>
      </c>
      <c r="B108" s="30" t="s">
        <v>28</v>
      </c>
      <c r="C108" s="30" t="s">
        <v>8</v>
      </c>
      <c r="D108" s="30" t="s">
        <v>19</v>
      </c>
      <c r="E108" s="30" t="s">
        <v>65</v>
      </c>
      <c r="F108" s="30" t="s">
        <v>6</v>
      </c>
      <c r="G108" s="30" t="s">
        <v>6</v>
      </c>
      <c r="H108" s="30"/>
      <c r="I108" s="30"/>
      <c r="J108" s="30"/>
      <c r="K108" s="30"/>
      <c r="L108" s="30"/>
      <c r="M108" s="30"/>
      <c r="N108" s="36">
        <f>N109</f>
        <v>35820</v>
      </c>
      <c r="O108" s="36">
        <f t="shared" ref="O108:V108" si="33">O109</f>
        <v>24460</v>
      </c>
      <c r="P108" s="36">
        <f t="shared" si="33"/>
        <v>0</v>
      </c>
      <c r="Q108" s="36">
        <f t="shared" si="33"/>
        <v>24460</v>
      </c>
      <c r="R108" s="36">
        <f t="shared" si="33"/>
        <v>0</v>
      </c>
      <c r="S108" s="36">
        <f t="shared" si="33"/>
        <v>24460</v>
      </c>
      <c r="T108" s="36">
        <f t="shared" si="33"/>
        <v>0</v>
      </c>
      <c r="U108" s="36">
        <f t="shared" si="33"/>
        <v>35820</v>
      </c>
      <c r="V108" s="36">
        <f t="shared" si="33"/>
        <v>35820</v>
      </c>
      <c r="W108" s="2"/>
    </row>
    <row r="109" spans="1:23" outlineLevel="5">
      <c r="A109" s="29" t="s">
        <v>16</v>
      </c>
      <c r="B109" s="30" t="s">
        <v>28</v>
      </c>
      <c r="C109" s="30" t="s">
        <v>8</v>
      </c>
      <c r="D109" s="30" t="s">
        <v>19</v>
      </c>
      <c r="E109" s="30" t="s">
        <v>65</v>
      </c>
      <c r="F109" s="30" t="s">
        <v>17</v>
      </c>
      <c r="G109" s="30" t="s">
        <v>6</v>
      </c>
      <c r="H109" s="30"/>
      <c r="I109" s="30"/>
      <c r="J109" s="30"/>
      <c r="K109" s="30"/>
      <c r="L109" s="30"/>
      <c r="M109" s="30"/>
      <c r="N109" s="36">
        <v>35820</v>
      </c>
      <c r="O109" s="37">
        <v>24460</v>
      </c>
      <c r="P109" s="37">
        <v>0</v>
      </c>
      <c r="Q109" s="37">
        <v>24460</v>
      </c>
      <c r="R109" s="37">
        <v>0</v>
      </c>
      <c r="S109" s="37">
        <v>24460</v>
      </c>
      <c r="T109" s="37">
        <v>0</v>
      </c>
      <c r="U109" s="36">
        <v>35820</v>
      </c>
      <c r="V109" s="36">
        <v>35820</v>
      </c>
      <c r="W109" s="2"/>
    </row>
    <row r="110" spans="1:23" ht="99.95" customHeight="1" outlineLevel="3">
      <c r="A110" s="29" t="s">
        <v>66</v>
      </c>
      <c r="B110" s="30" t="s">
        <v>28</v>
      </c>
      <c r="C110" s="30" t="s">
        <v>8</v>
      </c>
      <c r="D110" s="30" t="s">
        <v>19</v>
      </c>
      <c r="E110" s="30" t="s">
        <v>67</v>
      </c>
      <c r="F110" s="30" t="s">
        <v>6</v>
      </c>
      <c r="G110" s="30" t="s">
        <v>6</v>
      </c>
      <c r="H110" s="30"/>
      <c r="I110" s="30"/>
      <c r="J110" s="30"/>
      <c r="K110" s="30"/>
      <c r="L110" s="30"/>
      <c r="M110" s="30"/>
      <c r="N110" s="36">
        <f>N111</f>
        <v>75000</v>
      </c>
      <c r="O110" s="37">
        <v>25000</v>
      </c>
      <c r="P110" s="37">
        <v>0</v>
      </c>
      <c r="Q110" s="37">
        <v>25000</v>
      </c>
      <c r="R110" s="37">
        <v>0</v>
      </c>
      <c r="S110" s="37">
        <v>25000</v>
      </c>
      <c r="T110" s="37">
        <v>0</v>
      </c>
      <c r="U110" s="36">
        <v>25000</v>
      </c>
      <c r="V110" s="36">
        <v>25000</v>
      </c>
      <c r="W110" s="2"/>
    </row>
    <row r="111" spans="1:23" outlineLevel="5">
      <c r="A111" s="29" t="s">
        <v>16</v>
      </c>
      <c r="B111" s="30" t="s">
        <v>28</v>
      </c>
      <c r="C111" s="30" t="s">
        <v>8</v>
      </c>
      <c r="D111" s="30" t="s">
        <v>19</v>
      </c>
      <c r="E111" s="30" t="s">
        <v>67</v>
      </c>
      <c r="F111" s="30" t="s">
        <v>17</v>
      </c>
      <c r="G111" s="30" t="s">
        <v>6</v>
      </c>
      <c r="H111" s="30"/>
      <c r="I111" s="30"/>
      <c r="J111" s="30"/>
      <c r="K111" s="30"/>
      <c r="L111" s="30"/>
      <c r="M111" s="30"/>
      <c r="N111" s="36">
        <f>25000+50000</f>
        <v>75000</v>
      </c>
      <c r="O111" s="37">
        <v>25000</v>
      </c>
      <c r="P111" s="37">
        <v>0</v>
      </c>
      <c r="Q111" s="37">
        <v>25000</v>
      </c>
      <c r="R111" s="37">
        <v>0</v>
      </c>
      <c r="S111" s="37">
        <v>25000</v>
      </c>
      <c r="T111" s="37">
        <v>0</v>
      </c>
      <c r="U111" s="36">
        <v>25000</v>
      </c>
      <c r="V111" s="36">
        <v>25000</v>
      </c>
      <c r="W111" s="2"/>
    </row>
    <row r="112" spans="1:23" outlineLevel="5">
      <c r="A112" s="29" t="s">
        <v>262</v>
      </c>
      <c r="B112" s="30">
        <v>922</v>
      </c>
      <c r="C112" s="30" t="s">
        <v>8</v>
      </c>
      <c r="D112" s="30" t="s">
        <v>19</v>
      </c>
      <c r="E112" s="30">
        <v>2190095120</v>
      </c>
      <c r="F112" s="30" t="s">
        <v>6</v>
      </c>
      <c r="G112" s="30"/>
      <c r="H112" s="30"/>
      <c r="I112" s="30"/>
      <c r="J112" s="30"/>
      <c r="K112" s="30"/>
      <c r="L112" s="30"/>
      <c r="M112" s="30"/>
      <c r="N112" s="36">
        <f>N113</f>
        <v>500000</v>
      </c>
      <c r="O112" s="36">
        <f t="shared" ref="O112:V112" si="34">O113</f>
        <v>0</v>
      </c>
      <c r="P112" s="36">
        <f t="shared" si="34"/>
        <v>0</v>
      </c>
      <c r="Q112" s="36">
        <f t="shared" si="34"/>
        <v>0</v>
      </c>
      <c r="R112" s="36">
        <f t="shared" si="34"/>
        <v>0</v>
      </c>
      <c r="S112" s="36">
        <f t="shared" si="34"/>
        <v>0</v>
      </c>
      <c r="T112" s="36">
        <f t="shared" si="34"/>
        <v>0</v>
      </c>
      <c r="U112" s="36">
        <f t="shared" si="34"/>
        <v>0</v>
      </c>
      <c r="V112" s="36">
        <f t="shared" si="34"/>
        <v>0</v>
      </c>
      <c r="W112" s="2"/>
    </row>
    <row r="113" spans="1:23" ht="30" outlineLevel="5">
      <c r="A113" s="29" t="s">
        <v>14</v>
      </c>
      <c r="B113" s="30">
        <v>922</v>
      </c>
      <c r="C113" s="30" t="s">
        <v>8</v>
      </c>
      <c r="D113" s="30" t="s">
        <v>19</v>
      </c>
      <c r="E113" s="30">
        <v>2190095120</v>
      </c>
      <c r="F113" s="30">
        <v>200</v>
      </c>
      <c r="G113" s="30"/>
      <c r="H113" s="30"/>
      <c r="I113" s="30"/>
      <c r="J113" s="30"/>
      <c r="K113" s="30"/>
      <c r="L113" s="30"/>
      <c r="M113" s="30"/>
      <c r="N113" s="36">
        <f>N114</f>
        <v>500000</v>
      </c>
      <c r="O113" s="36">
        <f t="shared" ref="O113:V113" si="35">O114</f>
        <v>0</v>
      </c>
      <c r="P113" s="36">
        <f t="shared" si="35"/>
        <v>0</v>
      </c>
      <c r="Q113" s="36">
        <f t="shared" si="35"/>
        <v>0</v>
      </c>
      <c r="R113" s="36">
        <f t="shared" si="35"/>
        <v>0</v>
      </c>
      <c r="S113" s="36">
        <f t="shared" si="35"/>
        <v>0</v>
      </c>
      <c r="T113" s="36">
        <f t="shared" si="35"/>
        <v>0</v>
      </c>
      <c r="U113" s="36">
        <f t="shared" si="35"/>
        <v>0</v>
      </c>
      <c r="V113" s="36">
        <f t="shared" si="35"/>
        <v>0</v>
      </c>
      <c r="W113" s="2"/>
    </row>
    <row r="114" spans="1:23" outlineLevel="5">
      <c r="A114" s="29" t="s">
        <v>146</v>
      </c>
      <c r="B114" s="30">
        <v>922</v>
      </c>
      <c r="C114" s="30" t="s">
        <v>8</v>
      </c>
      <c r="D114" s="30" t="s">
        <v>19</v>
      </c>
      <c r="E114" s="30">
        <v>2190095120</v>
      </c>
      <c r="F114" s="30">
        <v>200</v>
      </c>
      <c r="G114" s="30"/>
      <c r="H114" s="30" t="s">
        <v>140</v>
      </c>
      <c r="I114" s="30"/>
      <c r="J114" s="30"/>
      <c r="K114" s="30"/>
      <c r="L114" s="30"/>
      <c r="M114" s="30"/>
      <c r="N114" s="36">
        <f>600000-100000</f>
        <v>500000</v>
      </c>
      <c r="O114" s="37"/>
      <c r="P114" s="37"/>
      <c r="Q114" s="37"/>
      <c r="R114" s="37"/>
      <c r="S114" s="37"/>
      <c r="T114" s="37"/>
      <c r="U114" s="36">
        <v>0</v>
      </c>
      <c r="V114" s="36">
        <v>0</v>
      </c>
      <c r="W114" s="2"/>
    </row>
    <row r="115" spans="1:23" outlineLevel="1">
      <c r="A115" s="29" t="s">
        <v>68</v>
      </c>
      <c r="B115" s="30" t="s">
        <v>28</v>
      </c>
      <c r="C115" s="30" t="s">
        <v>30</v>
      </c>
      <c r="D115" s="30" t="s">
        <v>4</v>
      </c>
      <c r="E115" s="30" t="s">
        <v>5</v>
      </c>
      <c r="F115" s="30" t="s">
        <v>6</v>
      </c>
      <c r="G115" s="30" t="s">
        <v>6</v>
      </c>
      <c r="H115" s="30"/>
      <c r="I115" s="30"/>
      <c r="J115" s="30"/>
      <c r="K115" s="30"/>
      <c r="L115" s="30"/>
      <c r="M115" s="30"/>
      <c r="N115" s="36">
        <f>N116</f>
        <v>505300</v>
      </c>
      <c r="O115" s="36">
        <f t="shared" ref="O115:V115" si="36">O116</f>
        <v>401000</v>
      </c>
      <c r="P115" s="36">
        <f t="shared" si="36"/>
        <v>0</v>
      </c>
      <c r="Q115" s="36">
        <f t="shared" si="36"/>
        <v>401000</v>
      </c>
      <c r="R115" s="36">
        <f t="shared" si="36"/>
        <v>0</v>
      </c>
      <c r="S115" s="36">
        <f t="shared" si="36"/>
        <v>401000</v>
      </c>
      <c r="T115" s="36">
        <f t="shared" si="36"/>
        <v>0</v>
      </c>
      <c r="U115" s="36">
        <f t="shared" si="36"/>
        <v>493000</v>
      </c>
      <c r="V115" s="36">
        <f t="shared" si="36"/>
        <v>509800</v>
      </c>
      <c r="W115" s="2"/>
    </row>
    <row r="116" spans="1:23" outlineLevel="2">
      <c r="A116" s="29" t="s">
        <v>69</v>
      </c>
      <c r="B116" s="30" t="s">
        <v>28</v>
      </c>
      <c r="C116" s="30" t="s">
        <v>30</v>
      </c>
      <c r="D116" s="30" t="s">
        <v>10</v>
      </c>
      <c r="E116" s="30" t="s">
        <v>5</v>
      </c>
      <c r="F116" s="30" t="s">
        <v>6</v>
      </c>
      <c r="G116" s="30" t="s">
        <v>6</v>
      </c>
      <c r="H116" s="30"/>
      <c r="I116" s="30"/>
      <c r="J116" s="30"/>
      <c r="K116" s="30"/>
      <c r="L116" s="30"/>
      <c r="M116" s="30"/>
      <c r="N116" s="36">
        <f>N117</f>
        <v>505300</v>
      </c>
      <c r="O116" s="37">
        <v>401000</v>
      </c>
      <c r="P116" s="37">
        <v>0</v>
      </c>
      <c r="Q116" s="37">
        <v>401000</v>
      </c>
      <c r="R116" s="37">
        <v>0</v>
      </c>
      <c r="S116" s="37">
        <v>401000</v>
      </c>
      <c r="T116" s="37">
        <v>0</v>
      </c>
      <c r="U116" s="36">
        <f>U117</f>
        <v>493000</v>
      </c>
      <c r="V116" s="36">
        <f>V117</f>
        <v>509800</v>
      </c>
      <c r="W116" s="2"/>
    </row>
    <row r="117" spans="1:23" ht="44.25" customHeight="1" outlineLevel="3">
      <c r="A117" s="29" t="s">
        <v>279</v>
      </c>
      <c r="B117" s="30" t="s">
        <v>28</v>
      </c>
      <c r="C117" s="30" t="s">
        <v>30</v>
      </c>
      <c r="D117" s="30" t="s">
        <v>10</v>
      </c>
      <c r="E117" s="30" t="s">
        <v>70</v>
      </c>
      <c r="F117" s="30" t="s">
        <v>6</v>
      </c>
      <c r="G117" s="30" t="s">
        <v>6</v>
      </c>
      <c r="H117" s="56" t="s">
        <v>271</v>
      </c>
      <c r="I117" s="30"/>
      <c r="J117" s="30"/>
      <c r="K117" s="30"/>
      <c r="L117" s="30"/>
      <c r="M117" s="30"/>
      <c r="N117" s="36">
        <f>N118+N119</f>
        <v>505300</v>
      </c>
      <c r="O117" s="36">
        <f t="shared" ref="O117:V117" si="37">O118+O119</f>
        <v>401000</v>
      </c>
      <c r="P117" s="36">
        <f t="shared" si="37"/>
        <v>0</v>
      </c>
      <c r="Q117" s="36">
        <f t="shared" si="37"/>
        <v>401000</v>
      </c>
      <c r="R117" s="36">
        <f t="shared" si="37"/>
        <v>0</v>
      </c>
      <c r="S117" s="36">
        <f t="shared" si="37"/>
        <v>401000</v>
      </c>
      <c r="T117" s="36">
        <f t="shared" si="37"/>
        <v>0</v>
      </c>
      <c r="U117" s="36">
        <f t="shared" si="37"/>
        <v>493000</v>
      </c>
      <c r="V117" s="36">
        <f t="shared" si="37"/>
        <v>509800</v>
      </c>
      <c r="W117" s="2"/>
    </row>
    <row r="118" spans="1:23" ht="75" outlineLevel="5">
      <c r="A118" s="29" t="s">
        <v>11</v>
      </c>
      <c r="B118" s="30" t="s">
        <v>28</v>
      </c>
      <c r="C118" s="30" t="s">
        <v>30</v>
      </c>
      <c r="D118" s="30" t="s">
        <v>10</v>
      </c>
      <c r="E118" s="30" t="s">
        <v>70</v>
      </c>
      <c r="F118" s="30" t="s">
        <v>12</v>
      </c>
      <c r="G118" s="30" t="s">
        <v>6</v>
      </c>
      <c r="H118" s="30"/>
      <c r="I118" s="30"/>
      <c r="J118" s="30"/>
      <c r="K118" s="30"/>
      <c r="L118" s="30"/>
      <c r="M118" s="30"/>
      <c r="N118" s="36">
        <f>444602.49+22298.88+5526.61-125.49</f>
        <v>472302.49</v>
      </c>
      <c r="O118" s="37">
        <v>401000</v>
      </c>
      <c r="P118" s="37">
        <v>0</v>
      </c>
      <c r="Q118" s="37">
        <v>401000</v>
      </c>
      <c r="R118" s="37">
        <v>0</v>
      </c>
      <c r="S118" s="37">
        <v>401000</v>
      </c>
      <c r="T118" s="37">
        <v>0</v>
      </c>
      <c r="U118" s="36">
        <v>450350.59</v>
      </c>
      <c r="V118" s="36">
        <v>463752.61</v>
      </c>
      <c r="W118" s="2"/>
    </row>
    <row r="119" spans="1:23" ht="30" outlineLevel="5">
      <c r="A119" s="29" t="s">
        <v>14</v>
      </c>
      <c r="B119" s="30" t="s">
        <v>28</v>
      </c>
      <c r="C119" s="30" t="s">
        <v>30</v>
      </c>
      <c r="D119" s="30" t="s">
        <v>10</v>
      </c>
      <c r="E119" s="30" t="s">
        <v>70</v>
      </c>
      <c r="F119" s="30">
        <v>200</v>
      </c>
      <c r="G119" s="30"/>
      <c r="H119" s="30"/>
      <c r="I119" s="30"/>
      <c r="J119" s="30"/>
      <c r="K119" s="30"/>
      <c r="L119" s="30"/>
      <c r="M119" s="30"/>
      <c r="N119" s="36">
        <f>N122+N121+N120</f>
        <v>32997.509999999995</v>
      </c>
      <c r="O119" s="36">
        <f t="shared" ref="O119:V119" si="38">O122+O121+O120</f>
        <v>0</v>
      </c>
      <c r="P119" s="36">
        <f t="shared" si="38"/>
        <v>0</v>
      </c>
      <c r="Q119" s="36">
        <f t="shared" si="38"/>
        <v>0</v>
      </c>
      <c r="R119" s="36">
        <f t="shared" si="38"/>
        <v>0</v>
      </c>
      <c r="S119" s="36">
        <f t="shared" si="38"/>
        <v>0</v>
      </c>
      <c r="T119" s="36">
        <f t="shared" si="38"/>
        <v>0</v>
      </c>
      <c r="U119" s="36">
        <f>U122+U121+U120</f>
        <v>42649.41</v>
      </c>
      <c r="V119" s="36">
        <f t="shared" si="38"/>
        <v>46047.39</v>
      </c>
      <c r="W119" s="2"/>
    </row>
    <row r="120" spans="1:23" outlineLevel="5">
      <c r="A120" s="29" t="s">
        <v>144</v>
      </c>
      <c r="B120" s="30" t="s">
        <v>28</v>
      </c>
      <c r="C120" s="30" t="s">
        <v>30</v>
      </c>
      <c r="D120" s="30" t="s">
        <v>10</v>
      </c>
      <c r="E120" s="30" t="s">
        <v>70</v>
      </c>
      <c r="F120" s="30">
        <v>200</v>
      </c>
      <c r="G120" s="30"/>
      <c r="H120" s="30" t="s">
        <v>138</v>
      </c>
      <c r="I120" s="30"/>
      <c r="J120" s="30"/>
      <c r="K120" s="30"/>
      <c r="L120" s="30"/>
      <c r="M120" s="30"/>
      <c r="N120" s="36">
        <v>3600</v>
      </c>
      <c r="O120" s="36"/>
      <c r="P120" s="36"/>
      <c r="Q120" s="36"/>
      <c r="R120" s="36"/>
      <c r="S120" s="36"/>
      <c r="T120" s="36"/>
      <c r="U120" s="36">
        <v>3744</v>
      </c>
      <c r="V120" s="36">
        <v>3893.76</v>
      </c>
      <c r="W120" s="2"/>
    </row>
    <row r="121" spans="1:23" outlineLevel="5">
      <c r="A121" s="67" t="s">
        <v>152</v>
      </c>
      <c r="B121" s="30" t="s">
        <v>28</v>
      </c>
      <c r="C121" s="30" t="s">
        <v>30</v>
      </c>
      <c r="D121" s="30" t="s">
        <v>10</v>
      </c>
      <c r="E121" s="30" t="s">
        <v>70</v>
      </c>
      <c r="F121" s="30">
        <v>200</v>
      </c>
      <c r="G121" s="30"/>
      <c r="H121" s="30" t="s">
        <v>151</v>
      </c>
      <c r="I121" s="30"/>
      <c r="J121" s="30"/>
      <c r="K121" s="30"/>
      <c r="L121" s="30"/>
      <c r="M121" s="30"/>
      <c r="N121" s="36">
        <f>386.26+24811.25</f>
        <v>25197.51</v>
      </c>
      <c r="O121" s="36"/>
      <c r="P121" s="36"/>
      <c r="Q121" s="36"/>
      <c r="R121" s="36"/>
      <c r="S121" s="36"/>
      <c r="T121" s="36"/>
      <c r="U121" s="36">
        <f>401.71+25803.7</f>
        <v>26205.41</v>
      </c>
      <c r="V121" s="36">
        <f>417.78+26835.85</f>
        <v>27253.629999999997</v>
      </c>
      <c r="W121" s="2"/>
    </row>
    <row r="122" spans="1:23" outlineLevel="5">
      <c r="A122" s="29" t="s">
        <v>199</v>
      </c>
      <c r="B122" s="30" t="s">
        <v>28</v>
      </c>
      <c r="C122" s="30" t="s">
        <v>30</v>
      </c>
      <c r="D122" s="30" t="s">
        <v>10</v>
      </c>
      <c r="E122" s="30" t="s">
        <v>70</v>
      </c>
      <c r="F122" s="30">
        <v>200</v>
      </c>
      <c r="G122" s="30"/>
      <c r="H122" s="30" t="s">
        <v>143</v>
      </c>
      <c r="I122" s="30"/>
      <c r="J122" s="30"/>
      <c r="K122" s="30"/>
      <c r="L122" s="30"/>
      <c r="M122" s="30"/>
      <c r="N122" s="36">
        <v>4200</v>
      </c>
      <c r="O122" s="37"/>
      <c r="P122" s="37"/>
      <c r="Q122" s="37"/>
      <c r="R122" s="37"/>
      <c r="S122" s="37"/>
      <c r="T122" s="37"/>
      <c r="U122" s="36">
        <v>12700</v>
      </c>
      <c r="V122" s="36">
        <v>14900</v>
      </c>
      <c r="W122" s="2"/>
    </row>
    <row r="123" spans="1:23" ht="30" outlineLevel="1">
      <c r="A123" s="29" t="s">
        <v>71</v>
      </c>
      <c r="B123" s="30" t="s">
        <v>28</v>
      </c>
      <c r="C123" s="30" t="s">
        <v>10</v>
      </c>
      <c r="D123" s="30" t="s">
        <v>4</v>
      </c>
      <c r="E123" s="30" t="s">
        <v>5</v>
      </c>
      <c r="F123" s="30" t="s">
        <v>6</v>
      </c>
      <c r="G123" s="30" t="s">
        <v>6</v>
      </c>
      <c r="H123" s="30"/>
      <c r="I123" s="30"/>
      <c r="J123" s="30"/>
      <c r="K123" s="30"/>
      <c r="L123" s="30"/>
      <c r="M123" s="30"/>
      <c r="N123" s="36">
        <f>N124</f>
        <v>506631.6</v>
      </c>
      <c r="O123" s="36">
        <f t="shared" ref="O123:V123" si="39">O124</f>
        <v>0</v>
      </c>
      <c r="P123" s="36">
        <f t="shared" si="39"/>
        <v>0</v>
      </c>
      <c r="Q123" s="36">
        <f t="shared" si="39"/>
        <v>0</v>
      </c>
      <c r="R123" s="36">
        <f t="shared" si="39"/>
        <v>0</v>
      </c>
      <c r="S123" s="36">
        <f t="shared" si="39"/>
        <v>0</v>
      </c>
      <c r="T123" s="36">
        <f t="shared" si="39"/>
        <v>0</v>
      </c>
      <c r="U123" s="36">
        <f t="shared" si="39"/>
        <v>509631.6</v>
      </c>
      <c r="V123" s="36">
        <f t="shared" si="39"/>
        <v>509631.6</v>
      </c>
      <c r="W123" s="2"/>
    </row>
    <row r="124" spans="1:23" ht="45" outlineLevel="2">
      <c r="A124" s="60" t="s">
        <v>222</v>
      </c>
      <c r="B124" s="30" t="s">
        <v>28</v>
      </c>
      <c r="C124" s="30" t="s">
        <v>10</v>
      </c>
      <c r="D124" s="30">
        <v>10</v>
      </c>
      <c r="E124" s="30" t="s">
        <v>5</v>
      </c>
      <c r="F124" s="30" t="s">
        <v>6</v>
      </c>
      <c r="G124" s="30" t="s">
        <v>6</v>
      </c>
      <c r="H124" s="30"/>
      <c r="I124" s="30"/>
      <c r="J124" s="30"/>
      <c r="K124" s="30"/>
      <c r="L124" s="30"/>
      <c r="M124" s="30"/>
      <c r="N124" s="36">
        <f>N129+N132+N125</f>
        <v>506631.6</v>
      </c>
      <c r="O124" s="36">
        <f t="shared" ref="O124:V124" si="40">O129+O132+O125</f>
        <v>0</v>
      </c>
      <c r="P124" s="36">
        <f t="shared" si="40"/>
        <v>0</v>
      </c>
      <c r="Q124" s="36">
        <f t="shared" si="40"/>
        <v>0</v>
      </c>
      <c r="R124" s="36">
        <f t="shared" si="40"/>
        <v>0</v>
      </c>
      <c r="S124" s="36">
        <f t="shared" si="40"/>
        <v>0</v>
      </c>
      <c r="T124" s="36">
        <f t="shared" si="40"/>
        <v>0</v>
      </c>
      <c r="U124" s="36">
        <f t="shared" si="40"/>
        <v>509631.6</v>
      </c>
      <c r="V124" s="36">
        <f t="shared" si="40"/>
        <v>509631.6</v>
      </c>
      <c r="W124" s="2"/>
    </row>
    <row r="125" spans="1:23" ht="30" outlineLevel="2">
      <c r="A125" s="32" t="s">
        <v>234</v>
      </c>
      <c r="B125" s="30" t="s">
        <v>28</v>
      </c>
      <c r="C125" s="30" t="s">
        <v>10</v>
      </c>
      <c r="D125" s="30">
        <v>10</v>
      </c>
      <c r="E125" s="33" t="s">
        <v>233</v>
      </c>
      <c r="F125" s="30" t="s">
        <v>6</v>
      </c>
      <c r="G125" s="30"/>
      <c r="H125" s="30"/>
      <c r="I125" s="30"/>
      <c r="J125" s="30"/>
      <c r="K125" s="30"/>
      <c r="L125" s="30"/>
      <c r="M125" s="30"/>
      <c r="N125" s="36">
        <f>N126</f>
        <v>98577.600000000006</v>
      </c>
      <c r="O125" s="36">
        <f t="shared" ref="O125:V125" si="41">O126</f>
        <v>0</v>
      </c>
      <c r="P125" s="36">
        <f t="shared" si="41"/>
        <v>0</v>
      </c>
      <c r="Q125" s="36">
        <f t="shared" si="41"/>
        <v>0</v>
      </c>
      <c r="R125" s="36">
        <f t="shared" si="41"/>
        <v>0</v>
      </c>
      <c r="S125" s="36">
        <f t="shared" si="41"/>
        <v>0</v>
      </c>
      <c r="T125" s="36">
        <f t="shared" si="41"/>
        <v>0</v>
      </c>
      <c r="U125" s="36">
        <f t="shared" si="41"/>
        <v>98577.600000000006</v>
      </c>
      <c r="V125" s="36">
        <f t="shared" si="41"/>
        <v>98577.600000000006</v>
      </c>
      <c r="W125" s="2"/>
    </row>
    <row r="126" spans="1:23" ht="30" outlineLevel="2">
      <c r="A126" s="29" t="s">
        <v>220</v>
      </c>
      <c r="B126" s="30" t="s">
        <v>28</v>
      </c>
      <c r="C126" s="30" t="s">
        <v>10</v>
      </c>
      <c r="D126" s="30">
        <v>10</v>
      </c>
      <c r="E126" s="33" t="s">
        <v>233</v>
      </c>
      <c r="F126" s="30">
        <v>200</v>
      </c>
      <c r="G126" s="30"/>
      <c r="H126" s="30"/>
      <c r="I126" s="30"/>
      <c r="J126" s="30"/>
      <c r="K126" s="30"/>
      <c r="L126" s="30"/>
      <c r="M126" s="30"/>
      <c r="N126" s="36">
        <f>N128+N127</f>
        <v>98577.600000000006</v>
      </c>
      <c r="O126" s="36">
        <f t="shared" ref="O126:V126" si="42">O128+O127</f>
        <v>0</v>
      </c>
      <c r="P126" s="36">
        <f t="shared" si="42"/>
        <v>0</v>
      </c>
      <c r="Q126" s="36">
        <f t="shared" si="42"/>
        <v>0</v>
      </c>
      <c r="R126" s="36">
        <f t="shared" si="42"/>
        <v>0</v>
      </c>
      <c r="S126" s="36">
        <f t="shared" si="42"/>
        <v>0</v>
      </c>
      <c r="T126" s="36">
        <f t="shared" si="42"/>
        <v>0</v>
      </c>
      <c r="U126" s="36">
        <f t="shared" si="42"/>
        <v>98577.600000000006</v>
      </c>
      <c r="V126" s="36">
        <f t="shared" si="42"/>
        <v>98577.600000000006</v>
      </c>
      <c r="W126" s="2"/>
    </row>
    <row r="127" spans="1:23" outlineLevel="2">
      <c r="A127" s="29" t="s">
        <v>144</v>
      </c>
      <c r="B127" s="33" t="s">
        <v>28</v>
      </c>
      <c r="C127" s="33" t="s">
        <v>10</v>
      </c>
      <c r="D127" s="33" t="s">
        <v>126</v>
      </c>
      <c r="E127" s="33" t="s">
        <v>233</v>
      </c>
      <c r="F127" s="33" t="s">
        <v>15</v>
      </c>
      <c r="G127" s="30"/>
      <c r="H127" s="30" t="s">
        <v>138</v>
      </c>
      <c r="I127" s="30"/>
      <c r="J127" s="30"/>
      <c r="K127" s="30"/>
      <c r="L127" s="30"/>
      <c r="M127" s="30"/>
      <c r="N127" s="36">
        <v>76377.600000000006</v>
      </c>
      <c r="O127" s="36"/>
      <c r="P127" s="36"/>
      <c r="Q127" s="36"/>
      <c r="R127" s="36"/>
      <c r="S127" s="36"/>
      <c r="T127" s="36"/>
      <c r="U127" s="36">
        <v>76377.600000000006</v>
      </c>
      <c r="V127" s="36">
        <v>76377.600000000006</v>
      </c>
      <c r="W127" s="2"/>
    </row>
    <row r="128" spans="1:23" outlineLevel="2">
      <c r="A128" s="29" t="s">
        <v>145</v>
      </c>
      <c r="B128" s="30" t="s">
        <v>28</v>
      </c>
      <c r="C128" s="30" t="s">
        <v>10</v>
      </c>
      <c r="D128" s="30">
        <v>10</v>
      </c>
      <c r="E128" s="33" t="s">
        <v>233</v>
      </c>
      <c r="F128" s="30">
        <v>200</v>
      </c>
      <c r="G128" s="30"/>
      <c r="H128" s="30" t="s">
        <v>139</v>
      </c>
      <c r="I128" s="30"/>
      <c r="J128" s="30"/>
      <c r="K128" s="30"/>
      <c r="L128" s="30"/>
      <c r="M128" s="30"/>
      <c r="N128" s="36">
        <v>22200</v>
      </c>
      <c r="O128" s="36"/>
      <c r="P128" s="36"/>
      <c r="Q128" s="36"/>
      <c r="R128" s="36"/>
      <c r="S128" s="36"/>
      <c r="T128" s="36"/>
      <c r="U128" s="36">
        <v>22200</v>
      </c>
      <c r="V128" s="36">
        <v>22200</v>
      </c>
      <c r="W128" s="2"/>
    </row>
    <row r="129" spans="1:23" ht="21" customHeight="1" outlineLevel="3">
      <c r="A129" s="29" t="s">
        <v>204</v>
      </c>
      <c r="B129" s="30" t="s">
        <v>28</v>
      </c>
      <c r="C129" s="30" t="s">
        <v>10</v>
      </c>
      <c r="D129" s="30">
        <v>10</v>
      </c>
      <c r="E129" s="30" t="s">
        <v>73</v>
      </c>
      <c r="F129" s="30" t="s">
        <v>6</v>
      </c>
      <c r="G129" s="30" t="s">
        <v>6</v>
      </c>
      <c r="H129" s="30"/>
      <c r="I129" s="30"/>
      <c r="J129" s="30"/>
      <c r="K129" s="30"/>
      <c r="L129" s="30"/>
      <c r="M129" s="30"/>
      <c r="N129" s="36">
        <f>N130</f>
        <v>330000</v>
      </c>
      <c r="O129" s="36">
        <f t="shared" ref="O129:V129" si="43">O130</f>
        <v>0</v>
      </c>
      <c r="P129" s="36">
        <f t="shared" si="43"/>
        <v>0</v>
      </c>
      <c r="Q129" s="36">
        <f t="shared" si="43"/>
        <v>0</v>
      </c>
      <c r="R129" s="36">
        <f t="shared" si="43"/>
        <v>0</v>
      </c>
      <c r="S129" s="36">
        <f t="shared" si="43"/>
        <v>0</v>
      </c>
      <c r="T129" s="36">
        <f t="shared" si="43"/>
        <v>0</v>
      </c>
      <c r="U129" s="36">
        <f t="shared" si="43"/>
        <v>333000</v>
      </c>
      <c r="V129" s="36">
        <f t="shared" si="43"/>
        <v>333000</v>
      </c>
      <c r="W129" s="2"/>
    </row>
    <row r="130" spans="1:23" ht="30.75" customHeight="1" outlineLevel="5">
      <c r="A130" s="29" t="s">
        <v>220</v>
      </c>
      <c r="B130" s="30" t="s">
        <v>28</v>
      </c>
      <c r="C130" s="30" t="s">
        <v>10</v>
      </c>
      <c r="D130" s="30">
        <v>10</v>
      </c>
      <c r="E130" s="30" t="s">
        <v>73</v>
      </c>
      <c r="F130" s="30" t="s">
        <v>15</v>
      </c>
      <c r="G130" s="30" t="s">
        <v>6</v>
      </c>
      <c r="H130" s="30"/>
      <c r="I130" s="30"/>
      <c r="J130" s="30"/>
      <c r="K130" s="30"/>
      <c r="L130" s="30"/>
      <c r="M130" s="30"/>
      <c r="N130" s="36">
        <f>N131</f>
        <v>330000</v>
      </c>
      <c r="O130" s="36">
        <f t="shared" ref="O130:V130" si="44">O131</f>
        <v>0</v>
      </c>
      <c r="P130" s="36">
        <f t="shared" si="44"/>
        <v>0</v>
      </c>
      <c r="Q130" s="36">
        <f t="shared" si="44"/>
        <v>0</v>
      </c>
      <c r="R130" s="36">
        <f t="shared" si="44"/>
        <v>0</v>
      </c>
      <c r="S130" s="36">
        <f t="shared" si="44"/>
        <v>0</v>
      </c>
      <c r="T130" s="36">
        <f t="shared" si="44"/>
        <v>0</v>
      </c>
      <c r="U130" s="36">
        <f t="shared" si="44"/>
        <v>333000</v>
      </c>
      <c r="V130" s="36">
        <f t="shared" si="44"/>
        <v>333000</v>
      </c>
      <c r="W130" s="2"/>
    </row>
    <row r="131" spans="1:23" outlineLevel="5">
      <c r="A131" s="29" t="s">
        <v>146</v>
      </c>
      <c r="B131" s="30" t="s">
        <v>28</v>
      </c>
      <c r="C131" s="30" t="s">
        <v>10</v>
      </c>
      <c r="D131" s="30">
        <v>10</v>
      </c>
      <c r="E131" s="30" t="s">
        <v>73</v>
      </c>
      <c r="F131" s="30" t="s">
        <v>15</v>
      </c>
      <c r="G131" s="30"/>
      <c r="H131" s="30" t="s">
        <v>140</v>
      </c>
      <c r="I131" s="30"/>
      <c r="J131" s="30"/>
      <c r="K131" s="30"/>
      <c r="L131" s="30"/>
      <c r="M131" s="30"/>
      <c r="N131" s="36">
        <f>333000-3000</f>
        <v>330000</v>
      </c>
      <c r="O131" s="37"/>
      <c r="P131" s="37"/>
      <c r="Q131" s="37"/>
      <c r="R131" s="37"/>
      <c r="S131" s="37"/>
      <c r="T131" s="37"/>
      <c r="U131" s="36">
        <v>333000</v>
      </c>
      <c r="V131" s="36">
        <v>333000</v>
      </c>
      <c r="W131" s="2"/>
    </row>
    <row r="132" spans="1:23" ht="30" outlineLevel="3">
      <c r="A132" s="29" t="s">
        <v>74</v>
      </c>
      <c r="B132" s="30" t="s">
        <v>28</v>
      </c>
      <c r="C132" s="30" t="s">
        <v>10</v>
      </c>
      <c r="D132" s="30">
        <v>10</v>
      </c>
      <c r="E132" s="30" t="s">
        <v>75</v>
      </c>
      <c r="F132" s="30" t="s">
        <v>6</v>
      </c>
      <c r="G132" s="30" t="s">
        <v>6</v>
      </c>
      <c r="H132" s="30"/>
      <c r="I132" s="30"/>
      <c r="J132" s="30"/>
      <c r="K132" s="30"/>
      <c r="L132" s="30"/>
      <c r="M132" s="30"/>
      <c r="N132" s="36">
        <f>N133</f>
        <v>78054</v>
      </c>
      <c r="O132" s="36">
        <f t="shared" ref="O132:V132" si="45">O133</f>
        <v>0</v>
      </c>
      <c r="P132" s="36">
        <f t="shared" si="45"/>
        <v>0</v>
      </c>
      <c r="Q132" s="36">
        <f t="shared" si="45"/>
        <v>0</v>
      </c>
      <c r="R132" s="36">
        <f t="shared" si="45"/>
        <v>0</v>
      </c>
      <c r="S132" s="36">
        <f t="shared" si="45"/>
        <v>0</v>
      </c>
      <c r="T132" s="36">
        <f t="shared" si="45"/>
        <v>0</v>
      </c>
      <c r="U132" s="36">
        <f t="shared" si="45"/>
        <v>78054</v>
      </c>
      <c r="V132" s="36">
        <f t="shared" si="45"/>
        <v>78054</v>
      </c>
      <c r="W132" s="2"/>
    </row>
    <row r="133" spans="1:23" ht="30.75" customHeight="1" outlineLevel="5">
      <c r="A133" s="29" t="s">
        <v>230</v>
      </c>
      <c r="B133" s="30" t="s">
        <v>28</v>
      </c>
      <c r="C133" s="30" t="s">
        <v>10</v>
      </c>
      <c r="D133" s="30">
        <v>10</v>
      </c>
      <c r="E133" s="30" t="s">
        <v>75</v>
      </c>
      <c r="F133" s="30" t="s">
        <v>15</v>
      </c>
      <c r="G133" s="30" t="s">
        <v>6</v>
      </c>
      <c r="H133" s="30"/>
      <c r="I133" s="30"/>
      <c r="J133" s="30"/>
      <c r="K133" s="30"/>
      <c r="L133" s="30"/>
      <c r="M133" s="30"/>
      <c r="N133" s="36">
        <f>N134</f>
        <v>78054</v>
      </c>
      <c r="O133" s="36">
        <f t="shared" ref="O133:V133" si="46">O134</f>
        <v>0</v>
      </c>
      <c r="P133" s="36">
        <f t="shared" si="46"/>
        <v>0</v>
      </c>
      <c r="Q133" s="36">
        <f t="shared" si="46"/>
        <v>0</v>
      </c>
      <c r="R133" s="36">
        <f t="shared" si="46"/>
        <v>0</v>
      </c>
      <c r="S133" s="36">
        <f t="shared" si="46"/>
        <v>0</v>
      </c>
      <c r="T133" s="36">
        <f t="shared" si="46"/>
        <v>0</v>
      </c>
      <c r="U133" s="36">
        <f t="shared" si="46"/>
        <v>78054</v>
      </c>
      <c r="V133" s="36">
        <f t="shared" si="46"/>
        <v>78054</v>
      </c>
      <c r="W133" s="2"/>
    </row>
    <row r="134" spans="1:23" outlineLevel="5">
      <c r="A134" s="29" t="s">
        <v>146</v>
      </c>
      <c r="B134" s="30" t="s">
        <v>28</v>
      </c>
      <c r="C134" s="30" t="s">
        <v>10</v>
      </c>
      <c r="D134" s="30">
        <v>10</v>
      </c>
      <c r="E134" s="30" t="s">
        <v>75</v>
      </c>
      <c r="F134" s="30" t="s">
        <v>15</v>
      </c>
      <c r="G134" s="30"/>
      <c r="H134" s="30" t="s">
        <v>140</v>
      </c>
      <c r="I134" s="30"/>
      <c r="J134" s="30"/>
      <c r="K134" s="30"/>
      <c r="L134" s="30"/>
      <c r="M134" s="30"/>
      <c r="N134" s="36">
        <v>78054</v>
      </c>
      <c r="O134" s="37"/>
      <c r="P134" s="37"/>
      <c r="Q134" s="37"/>
      <c r="R134" s="37"/>
      <c r="S134" s="37"/>
      <c r="T134" s="37"/>
      <c r="U134" s="36">
        <v>78054</v>
      </c>
      <c r="V134" s="36">
        <v>78054</v>
      </c>
      <c r="W134" s="2"/>
    </row>
    <row r="135" spans="1:23" outlineLevel="1">
      <c r="A135" s="29" t="s">
        <v>76</v>
      </c>
      <c r="B135" s="30" t="s">
        <v>28</v>
      </c>
      <c r="C135" s="30" t="s">
        <v>34</v>
      </c>
      <c r="D135" s="30" t="s">
        <v>4</v>
      </c>
      <c r="E135" s="30" t="s">
        <v>5</v>
      </c>
      <c r="F135" s="30" t="s">
        <v>6</v>
      </c>
      <c r="G135" s="30" t="s">
        <v>6</v>
      </c>
      <c r="H135" s="30"/>
      <c r="I135" s="30"/>
      <c r="J135" s="30"/>
      <c r="K135" s="30"/>
      <c r="L135" s="30"/>
      <c r="M135" s="30"/>
      <c r="N135" s="36">
        <f>N140+N145+N164+N136</f>
        <v>37778181.609999999</v>
      </c>
      <c r="O135" s="36">
        <f t="shared" ref="O135:V135" si="47">O140+O145+O164+O136</f>
        <v>0</v>
      </c>
      <c r="P135" s="36">
        <f t="shared" si="47"/>
        <v>0</v>
      </c>
      <c r="Q135" s="36">
        <f t="shared" si="47"/>
        <v>0</v>
      </c>
      <c r="R135" s="36">
        <f t="shared" si="47"/>
        <v>0</v>
      </c>
      <c r="S135" s="36">
        <f t="shared" si="47"/>
        <v>0</v>
      </c>
      <c r="T135" s="36">
        <f t="shared" si="47"/>
        <v>0</v>
      </c>
      <c r="U135" s="36">
        <f t="shared" si="47"/>
        <v>13452238.609999999</v>
      </c>
      <c r="V135" s="36">
        <f t="shared" si="47"/>
        <v>13019259.829999998</v>
      </c>
      <c r="W135" s="2"/>
    </row>
    <row r="136" spans="1:23" ht="15.75" outlineLevel="1">
      <c r="A136" s="73" t="s">
        <v>283</v>
      </c>
      <c r="B136" s="74">
        <v>922</v>
      </c>
      <c r="C136" s="75" t="s">
        <v>34</v>
      </c>
      <c r="D136" s="75" t="s">
        <v>47</v>
      </c>
      <c r="E136" s="75" t="s">
        <v>5</v>
      </c>
      <c r="F136" s="75" t="s">
        <v>6</v>
      </c>
      <c r="G136" s="74"/>
      <c r="H136" s="30"/>
      <c r="I136" s="30"/>
      <c r="J136" s="30"/>
      <c r="K136" s="30"/>
      <c r="L136" s="30"/>
      <c r="M136" s="30"/>
      <c r="N136" s="36">
        <f>N137</f>
        <v>0</v>
      </c>
      <c r="O136" s="36"/>
      <c r="P136" s="36"/>
      <c r="Q136" s="36"/>
      <c r="R136" s="36"/>
      <c r="S136" s="36"/>
      <c r="T136" s="36"/>
      <c r="U136" s="36">
        <v>0</v>
      </c>
      <c r="V136" s="36">
        <v>0</v>
      </c>
      <c r="W136" s="2"/>
    </row>
    <row r="137" spans="1:23" outlineLevel="1">
      <c r="A137" s="76" t="s">
        <v>284</v>
      </c>
      <c r="B137" s="74">
        <v>922</v>
      </c>
      <c r="C137" s="75" t="s">
        <v>34</v>
      </c>
      <c r="D137" s="75" t="s">
        <v>47</v>
      </c>
      <c r="E137" s="75" t="s">
        <v>285</v>
      </c>
      <c r="F137" s="75" t="s">
        <v>6</v>
      </c>
      <c r="G137" s="74"/>
      <c r="H137" s="30"/>
      <c r="I137" s="30"/>
      <c r="J137" s="30"/>
      <c r="K137" s="30"/>
      <c r="L137" s="30"/>
      <c r="M137" s="30"/>
      <c r="N137" s="36">
        <f>N138</f>
        <v>0</v>
      </c>
      <c r="O137" s="36"/>
      <c r="P137" s="36"/>
      <c r="Q137" s="36"/>
      <c r="R137" s="36"/>
      <c r="S137" s="36"/>
      <c r="T137" s="36"/>
      <c r="U137" s="36">
        <v>0</v>
      </c>
      <c r="V137" s="36">
        <v>0</v>
      </c>
      <c r="W137" s="2"/>
    </row>
    <row r="138" spans="1:23" ht="30" outlineLevel="1">
      <c r="A138" s="77" t="s">
        <v>230</v>
      </c>
      <c r="B138" s="74">
        <v>922</v>
      </c>
      <c r="C138" s="75" t="s">
        <v>34</v>
      </c>
      <c r="D138" s="75" t="s">
        <v>47</v>
      </c>
      <c r="E138" s="75" t="s">
        <v>285</v>
      </c>
      <c r="F138" s="75" t="s">
        <v>15</v>
      </c>
      <c r="G138" s="74"/>
      <c r="H138" s="30"/>
      <c r="I138" s="30"/>
      <c r="J138" s="30"/>
      <c r="K138" s="30"/>
      <c r="L138" s="30"/>
      <c r="M138" s="30"/>
      <c r="N138" s="36">
        <f>N139</f>
        <v>0</v>
      </c>
      <c r="O138" s="36"/>
      <c r="P138" s="36"/>
      <c r="Q138" s="36"/>
      <c r="R138" s="36"/>
      <c r="S138" s="36"/>
      <c r="T138" s="36"/>
      <c r="U138" s="36">
        <v>0</v>
      </c>
      <c r="V138" s="36">
        <v>0</v>
      </c>
      <c r="W138" s="2"/>
    </row>
    <row r="139" spans="1:23" outlineLevel="1">
      <c r="A139" s="77" t="s">
        <v>286</v>
      </c>
      <c r="B139" s="74">
        <v>922</v>
      </c>
      <c r="C139" s="75" t="s">
        <v>34</v>
      </c>
      <c r="D139" s="75" t="s">
        <v>47</v>
      </c>
      <c r="E139" s="75" t="s">
        <v>285</v>
      </c>
      <c r="F139" s="75" t="s">
        <v>15</v>
      </c>
      <c r="G139" s="74" t="s">
        <v>140</v>
      </c>
      <c r="H139" s="30" t="s">
        <v>140</v>
      </c>
      <c r="I139" s="30"/>
      <c r="J139" s="30"/>
      <c r="K139" s="30"/>
      <c r="L139" s="30"/>
      <c r="M139" s="30"/>
      <c r="N139" s="36">
        <f>239400-239400</f>
        <v>0</v>
      </c>
      <c r="O139" s="36"/>
      <c r="P139" s="36"/>
      <c r="Q139" s="36"/>
      <c r="R139" s="36"/>
      <c r="S139" s="36"/>
      <c r="T139" s="36"/>
      <c r="U139" s="36">
        <v>0</v>
      </c>
      <c r="V139" s="36">
        <v>0</v>
      </c>
      <c r="W139" s="2"/>
    </row>
    <row r="140" spans="1:23" outlineLevel="2">
      <c r="A140" s="31" t="s">
        <v>77</v>
      </c>
      <c r="B140" s="30" t="s">
        <v>28</v>
      </c>
      <c r="C140" s="30" t="s">
        <v>34</v>
      </c>
      <c r="D140" s="30" t="s">
        <v>78</v>
      </c>
      <c r="E140" s="30" t="s">
        <v>5</v>
      </c>
      <c r="F140" s="30" t="s">
        <v>6</v>
      </c>
      <c r="G140" s="30" t="s">
        <v>6</v>
      </c>
      <c r="H140" s="30"/>
      <c r="I140" s="30"/>
      <c r="J140" s="30"/>
      <c r="K140" s="30"/>
      <c r="L140" s="30"/>
      <c r="M140" s="30"/>
      <c r="N140" s="36">
        <f>N141</f>
        <v>2098799.5499999998</v>
      </c>
      <c r="O140" s="36">
        <f t="shared" ref="O140:V140" si="48">O141</f>
        <v>0</v>
      </c>
      <c r="P140" s="36">
        <f t="shared" si="48"/>
        <v>0</v>
      </c>
      <c r="Q140" s="36">
        <f t="shared" si="48"/>
        <v>0</v>
      </c>
      <c r="R140" s="36">
        <f t="shared" si="48"/>
        <v>0</v>
      </c>
      <c r="S140" s="36">
        <f t="shared" si="48"/>
        <v>0</v>
      </c>
      <c r="T140" s="36">
        <f t="shared" si="48"/>
        <v>0</v>
      </c>
      <c r="U140" s="36">
        <f t="shared" si="48"/>
        <v>2317484</v>
      </c>
      <c r="V140" s="36">
        <f t="shared" si="48"/>
        <v>2179675.04</v>
      </c>
      <c r="W140" s="2"/>
    </row>
    <row r="141" spans="1:23" ht="32.25" customHeight="1" outlineLevel="3">
      <c r="A141" s="29" t="s">
        <v>79</v>
      </c>
      <c r="B141" s="30" t="s">
        <v>28</v>
      </c>
      <c r="C141" s="30" t="s">
        <v>34</v>
      </c>
      <c r="D141" s="30" t="s">
        <v>78</v>
      </c>
      <c r="E141" s="30" t="s">
        <v>80</v>
      </c>
      <c r="F141" s="30" t="s">
        <v>6</v>
      </c>
      <c r="G141" s="30" t="s">
        <v>6</v>
      </c>
      <c r="H141" s="30">
        <v>22004014</v>
      </c>
      <c r="I141" s="30"/>
      <c r="J141" s="30"/>
      <c r="K141" s="30"/>
      <c r="L141" s="30"/>
      <c r="M141" s="30"/>
      <c r="N141" s="36">
        <f>N142</f>
        <v>2098799.5499999998</v>
      </c>
      <c r="O141" s="36">
        <f t="shared" ref="O141:V141" si="49">O142</f>
        <v>0</v>
      </c>
      <c r="P141" s="36">
        <f t="shared" si="49"/>
        <v>0</v>
      </c>
      <c r="Q141" s="36">
        <f t="shared" si="49"/>
        <v>0</v>
      </c>
      <c r="R141" s="36">
        <f t="shared" si="49"/>
        <v>0</v>
      </c>
      <c r="S141" s="36">
        <f t="shared" si="49"/>
        <v>0</v>
      </c>
      <c r="T141" s="36">
        <f t="shared" si="49"/>
        <v>0</v>
      </c>
      <c r="U141" s="36">
        <f t="shared" si="49"/>
        <v>2317484</v>
      </c>
      <c r="V141" s="36">
        <f t="shared" si="49"/>
        <v>2179675.04</v>
      </c>
      <c r="W141" s="2"/>
    </row>
    <row r="142" spans="1:23" ht="32.25" customHeight="1" outlineLevel="5">
      <c r="A142" s="29" t="s">
        <v>14</v>
      </c>
      <c r="B142" s="30" t="s">
        <v>28</v>
      </c>
      <c r="C142" s="30" t="s">
        <v>34</v>
      </c>
      <c r="D142" s="30" t="s">
        <v>78</v>
      </c>
      <c r="E142" s="30" t="s">
        <v>80</v>
      </c>
      <c r="F142" s="30" t="s">
        <v>15</v>
      </c>
      <c r="G142" s="30" t="s">
        <v>6</v>
      </c>
      <c r="H142" s="30"/>
      <c r="I142" s="30"/>
      <c r="J142" s="30"/>
      <c r="K142" s="30"/>
      <c r="L142" s="30"/>
      <c r="M142" s="30"/>
      <c r="N142" s="36">
        <f>N143+N144</f>
        <v>2098799.5499999998</v>
      </c>
      <c r="O142" s="36">
        <f t="shared" ref="O142:V142" si="50">O143+O144</f>
        <v>0</v>
      </c>
      <c r="P142" s="36">
        <f t="shared" si="50"/>
        <v>0</v>
      </c>
      <c r="Q142" s="36">
        <f t="shared" si="50"/>
        <v>0</v>
      </c>
      <c r="R142" s="36">
        <f t="shared" si="50"/>
        <v>0</v>
      </c>
      <c r="S142" s="36">
        <f t="shared" si="50"/>
        <v>0</v>
      </c>
      <c r="T142" s="36">
        <f t="shared" si="50"/>
        <v>0</v>
      </c>
      <c r="U142" s="36">
        <f t="shared" si="50"/>
        <v>2317484</v>
      </c>
      <c r="V142" s="36">
        <f t="shared" si="50"/>
        <v>2179675.04</v>
      </c>
      <c r="W142" s="2"/>
    </row>
    <row r="143" spans="1:23" outlineLevel="5">
      <c r="A143" s="29" t="s">
        <v>145</v>
      </c>
      <c r="B143" s="30" t="s">
        <v>28</v>
      </c>
      <c r="C143" s="30" t="s">
        <v>34</v>
      </c>
      <c r="D143" s="30" t="s">
        <v>78</v>
      </c>
      <c r="E143" s="30" t="s">
        <v>80</v>
      </c>
      <c r="F143" s="30" t="s">
        <v>15</v>
      </c>
      <c r="G143" s="30"/>
      <c r="H143" s="30" t="s">
        <v>139</v>
      </c>
      <c r="I143" s="30"/>
      <c r="J143" s="30"/>
      <c r="K143" s="30"/>
      <c r="L143" s="30"/>
      <c r="M143" s="30"/>
      <c r="N143" s="36">
        <f>99139.98+1883659.57</f>
        <v>1982799.55</v>
      </c>
      <c r="O143" s="37"/>
      <c r="P143" s="37"/>
      <c r="Q143" s="37"/>
      <c r="R143" s="37"/>
      <c r="S143" s="37"/>
      <c r="T143" s="37"/>
      <c r="U143" s="36">
        <f>110074.2+2091409.8</f>
        <v>2201484</v>
      </c>
      <c r="V143" s="36">
        <f>103183.76+1960491.28</f>
        <v>2063675.04</v>
      </c>
      <c r="W143" s="2"/>
    </row>
    <row r="144" spans="1:23" outlineLevel="5">
      <c r="A144" s="29" t="s">
        <v>147</v>
      </c>
      <c r="B144" s="30" t="s">
        <v>28</v>
      </c>
      <c r="C144" s="30" t="s">
        <v>34</v>
      </c>
      <c r="D144" s="30" t="s">
        <v>78</v>
      </c>
      <c r="E144" s="30" t="s">
        <v>80</v>
      </c>
      <c r="F144" s="30" t="s">
        <v>15</v>
      </c>
      <c r="G144" s="30"/>
      <c r="H144" s="30" t="s">
        <v>141</v>
      </c>
      <c r="I144" s="30"/>
      <c r="J144" s="30"/>
      <c r="K144" s="30"/>
      <c r="L144" s="30"/>
      <c r="M144" s="30"/>
      <c r="N144" s="36">
        <f>5800+110200</f>
        <v>116000</v>
      </c>
      <c r="O144" s="37"/>
      <c r="P144" s="37"/>
      <c r="Q144" s="37"/>
      <c r="R144" s="37"/>
      <c r="S144" s="37"/>
      <c r="T144" s="37"/>
      <c r="U144" s="36">
        <v>116000</v>
      </c>
      <c r="V144" s="36">
        <v>116000</v>
      </c>
      <c r="W144" s="2"/>
    </row>
    <row r="145" spans="1:23" outlineLevel="2">
      <c r="A145" s="31" t="s">
        <v>81</v>
      </c>
      <c r="B145" s="30" t="s">
        <v>28</v>
      </c>
      <c r="C145" s="30" t="s">
        <v>34</v>
      </c>
      <c r="D145" s="30" t="s">
        <v>72</v>
      </c>
      <c r="E145" s="30" t="s">
        <v>5</v>
      </c>
      <c r="F145" s="30" t="s">
        <v>6</v>
      </c>
      <c r="G145" s="30" t="s">
        <v>6</v>
      </c>
      <c r="H145" s="30"/>
      <c r="I145" s="30"/>
      <c r="J145" s="30"/>
      <c r="K145" s="30"/>
      <c r="L145" s="30"/>
      <c r="M145" s="30"/>
      <c r="N145" s="36">
        <f>N146+N150+N153+N158+N161</f>
        <v>34223893.039999999</v>
      </c>
      <c r="O145" s="36">
        <f t="shared" ref="O145:V145" si="51">O146+O150+O153+O158+O161</f>
        <v>0</v>
      </c>
      <c r="P145" s="36">
        <f t="shared" si="51"/>
        <v>0</v>
      </c>
      <c r="Q145" s="36">
        <f t="shared" si="51"/>
        <v>0</v>
      </c>
      <c r="R145" s="36">
        <f t="shared" si="51"/>
        <v>0</v>
      </c>
      <c r="S145" s="36">
        <f t="shared" si="51"/>
        <v>0</v>
      </c>
      <c r="T145" s="36">
        <f t="shared" si="51"/>
        <v>0</v>
      </c>
      <c r="U145" s="36">
        <f t="shared" si="51"/>
        <v>10620529.59</v>
      </c>
      <c r="V145" s="36">
        <f t="shared" si="51"/>
        <v>10324199.77</v>
      </c>
      <c r="W145" s="2"/>
    </row>
    <row r="146" spans="1:23" ht="30" outlineLevel="3">
      <c r="A146" s="29" t="s">
        <v>82</v>
      </c>
      <c r="B146" s="30" t="s">
        <v>28</v>
      </c>
      <c r="C146" s="30" t="s">
        <v>34</v>
      </c>
      <c r="D146" s="30" t="s">
        <v>72</v>
      </c>
      <c r="E146" s="30" t="s">
        <v>83</v>
      </c>
      <c r="F146" s="30" t="s">
        <v>6</v>
      </c>
      <c r="G146" s="30" t="s">
        <v>6</v>
      </c>
      <c r="H146" s="30"/>
      <c r="I146" s="30"/>
      <c r="J146" s="30"/>
      <c r="K146" s="30"/>
      <c r="L146" s="30"/>
      <c r="M146" s="30"/>
      <c r="N146" s="36">
        <f>N147</f>
        <v>11180770.380000001</v>
      </c>
      <c r="O146" s="36">
        <f t="shared" ref="O146:V147" si="52">O147</f>
        <v>0</v>
      </c>
      <c r="P146" s="36">
        <f t="shared" si="52"/>
        <v>0</v>
      </c>
      <c r="Q146" s="36">
        <f t="shared" si="52"/>
        <v>0</v>
      </c>
      <c r="R146" s="36">
        <f t="shared" si="52"/>
        <v>0</v>
      </c>
      <c r="S146" s="36">
        <f t="shared" si="52"/>
        <v>0</v>
      </c>
      <c r="T146" s="36">
        <f t="shared" si="52"/>
        <v>0</v>
      </c>
      <c r="U146" s="36">
        <f t="shared" si="52"/>
        <v>8900822.379999999</v>
      </c>
      <c r="V146" s="36">
        <f t="shared" si="52"/>
        <v>7700856.6399999997</v>
      </c>
      <c r="W146" s="2"/>
    </row>
    <row r="147" spans="1:23" ht="31.5" customHeight="1" outlineLevel="5">
      <c r="A147" s="29" t="s">
        <v>14</v>
      </c>
      <c r="B147" s="30" t="s">
        <v>28</v>
      </c>
      <c r="C147" s="30" t="s">
        <v>34</v>
      </c>
      <c r="D147" s="30" t="s">
        <v>72</v>
      </c>
      <c r="E147" s="30" t="s">
        <v>83</v>
      </c>
      <c r="F147" s="30" t="s">
        <v>15</v>
      </c>
      <c r="G147" s="30" t="s">
        <v>6</v>
      </c>
      <c r="H147" s="30"/>
      <c r="I147" s="30"/>
      <c r="J147" s="30"/>
      <c r="K147" s="30"/>
      <c r="L147" s="30"/>
      <c r="M147" s="30"/>
      <c r="N147" s="36">
        <f>N148+N149</f>
        <v>11180770.380000001</v>
      </c>
      <c r="O147" s="36">
        <f t="shared" si="52"/>
        <v>0</v>
      </c>
      <c r="P147" s="36">
        <f t="shared" si="52"/>
        <v>0</v>
      </c>
      <c r="Q147" s="36">
        <f t="shared" si="52"/>
        <v>0</v>
      </c>
      <c r="R147" s="36">
        <f t="shared" si="52"/>
        <v>0</v>
      </c>
      <c r="S147" s="36">
        <f t="shared" si="52"/>
        <v>0</v>
      </c>
      <c r="T147" s="36">
        <f t="shared" si="52"/>
        <v>0</v>
      </c>
      <c r="U147" s="36">
        <f t="shared" si="52"/>
        <v>8900822.379999999</v>
      </c>
      <c r="V147" s="36">
        <f t="shared" si="52"/>
        <v>7700856.6399999997</v>
      </c>
      <c r="W147" s="2"/>
    </row>
    <row r="148" spans="1:23" outlineLevel="5">
      <c r="A148" s="29" t="s">
        <v>145</v>
      </c>
      <c r="B148" s="30" t="s">
        <v>28</v>
      </c>
      <c r="C148" s="30" t="s">
        <v>34</v>
      </c>
      <c r="D148" s="30" t="s">
        <v>72</v>
      </c>
      <c r="E148" s="30" t="s">
        <v>83</v>
      </c>
      <c r="F148" s="30" t="s">
        <v>15</v>
      </c>
      <c r="G148" s="30"/>
      <c r="H148" s="30" t="s">
        <v>139</v>
      </c>
      <c r="I148" s="30"/>
      <c r="J148" s="30"/>
      <c r="K148" s="30"/>
      <c r="L148" s="30"/>
      <c r="M148" s="30"/>
      <c r="N148" s="36">
        <f>10660969.8+38800.58+481000-9438</f>
        <v>11171332.380000001</v>
      </c>
      <c r="O148" s="37"/>
      <c r="P148" s="37"/>
      <c r="Q148" s="37"/>
      <c r="R148" s="37"/>
      <c r="S148" s="37"/>
      <c r="T148" s="37"/>
      <c r="U148" s="36">
        <f>7703479.8-2657.42+1200000</f>
        <v>8900822.379999999</v>
      </c>
      <c r="V148" s="36">
        <f>7703479.8-2623.16</f>
        <v>7700856.6399999997</v>
      </c>
      <c r="W148" s="2"/>
    </row>
    <row r="149" spans="1:23" outlineLevel="5">
      <c r="A149" s="29" t="s">
        <v>307</v>
      </c>
      <c r="B149" s="30" t="s">
        <v>28</v>
      </c>
      <c r="C149" s="30" t="s">
        <v>34</v>
      </c>
      <c r="D149" s="30" t="s">
        <v>72</v>
      </c>
      <c r="E149" s="30" t="s">
        <v>83</v>
      </c>
      <c r="F149" s="30" t="s">
        <v>15</v>
      </c>
      <c r="G149" s="30"/>
      <c r="H149" s="30" t="s">
        <v>140</v>
      </c>
      <c r="I149" s="30"/>
      <c r="J149" s="30"/>
      <c r="K149" s="30"/>
      <c r="L149" s="30"/>
      <c r="M149" s="30"/>
      <c r="N149" s="36">
        <v>9438</v>
      </c>
      <c r="O149" s="37"/>
      <c r="P149" s="37"/>
      <c r="Q149" s="37"/>
      <c r="R149" s="37"/>
      <c r="S149" s="37"/>
      <c r="T149" s="37"/>
      <c r="U149" s="36">
        <v>0</v>
      </c>
      <c r="V149" s="36">
        <v>0</v>
      </c>
      <c r="W149" s="2"/>
    </row>
    <row r="150" spans="1:23" ht="45" outlineLevel="3">
      <c r="A150" s="29" t="s">
        <v>84</v>
      </c>
      <c r="B150" s="30" t="s">
        <v>28</v>
      </c>
      <c r="C150" s="30" t="s">
        <v>34</v>
      </c>
      <c r="D150" s="30" t="s">
        <v>72</v>
      </c>
      <c r="E150" s="30" t="s">
        <v>85</v>
      </c>
      <c r="F150" s="30" t="s">
        <v>6</v>
      </c>
      <c r="G150" s="30" t="s">
        <v>6</v>
      </c>
      <c r="H150" s="30"/>
      <c r="I150" s="30"/>
      <c r="J150" s="30"/>
      <c r="K150" s="30"/>
      <c r="L150" s="30"/>
      <c r="M150" s="30"/>
      <c r="N150" s="36">
        <f>N151</f>
        <v>19860</v>
      </c>
      <c r="O150" s="36">
        <f t="shared" ref="O150:V150" si="53">O151</f>
        <v>0</v>
      </c>
      <c r="P150" s="36">
        <f t="shared" si="53"/>
        <v>0</v>
      </c>
      <c r="Q150" s="36">
        <f t="shared" si="53"/>
        <v>0</v>
      </c>
      <c r="R150" s="36">
        <f t="shared" si="53"/>
        <v>0</v>
      </c>
      <c r="S150" s="36">
        <f t="shared" si="53"/>
        <v>0</v>
      </c>
      <c r="T150" s="36">
        <f t="shared" si="53"/>
        <v>0</v>
      </c>
      <c r="U150" s="36">
        <f t="shared" si="53"/>
        <v>19860</v>
      </c>
      <c r="V150" s="36">
        <f t="shared" si="53"/>
        <v>19860</v>
      </c>
      <c r="W150" s="2"/>
    </row>
    <row r="151" spans="1:23" ht="30" outlineLevel="5">
      <c r="A151" s="29" t="s">
        <v>14</v>
      </c>
      <c r="B151" s="30" t="s">
        <v>28</v>
      </c>
      <c r="C151" s="30" t="s">
        <v>34</v>
      </c>
      <c r="D151" s="30" t="s">
        <v>72</v>
      </c>
      <c r="E151" s="30" t="s">
        <v>85</v>
      </c>
      <c r="F151" s="30" t="s">
        <v>15</v>
      </c>
      <c r="G151" s="30" t="s">
        <v>6</v>
      </c>
      <c r="H151" s="30"/>
      <c r="I151" s="30"/>
      <c r="J151" s="30"/>
      <c r="K151" s="30"/>
      <c r="L151" s="30"/>
      <c r="M151" s="30"/>
      <c r="N151" s="36">
        <f>N152</f>
        <v>19860</v>
      </c>
      <c r="O151" s="36">
        <f t="shared" ref="O151:V151" si="54">O152</f>
        <v>0</v>
      </c>
      <c r="P151" s="36">
        <f t="shared" si="54"/>
        <v>0</v>
      </c>
      <c r="Q151" s="36">
        <f t="shared" si="54"/>
        <v>0</v>
      </c>
      <c r="R151" s="36">
        <f t="shared" si="54"/>
        <v>0</v>
      </c>
      <c r="S151" s="36">
        <f t="shared" si="54"/>
        <v>0</v>
      </c>
      <c r="T151" s="36">
        <f t="shared" si="54"/>
        <v>0</v>
      </c>
      <c r="U151" s="36">
        <f t="shared" si="54"/>
        <v>19860</v>
      </c>
      <c r="V151" s="36">
        <f t="shared" si="54"/>
        <v>19860</v>
      </c>
      <c r="W151" s="2"/>
    </row>
    <row r="152" spans="1:23" outlineLevel="5">
      <c r="A152" s="29" t="s">
        <v>145</v>
      </c>
      <c r="B152" s="30" t="s">
        <v>28</v>
      </c>
      <c r="C152" s="30" t="s">
        <v>34</v>
      </c>
      <c r="D152" s="30" t="s">
        <v>72</v>
      </c>
      <c r="E152" s="30" t="s">
        <v>85</v>
      </c>
      <c r="F152" s="30" t="s">
        <v>15</v>
      </c>
      <c r="G152" s="30"/>
      <c r="H152" s="30" t="s">
        <v>139</v>
      </c>
      <c r="I152" s="30"/>
      <c r="J152" s="30"/>
      <c r="K152" s="30"/>
      <c r="L152" s="30"/>
      <c r="M152" s="30"/>
      <c r="N152" s="36">
        <v>19860</v>
      </c>
      <c r="O152" s="37"/>
      <c r="P152" s="37"/>
      <c r="Q152" s="37"/>
      <c r="R152" s="37"/>
      <c r="S152" s="37"/>
      <c r="T152" s="37"/>
      <c r="U152" s="36">
        <v>19860</v>
      </c>
      <c r="V152" s="36">
        <v>19860</v>
      </c>
      <c r="W152" s="2"/>
    </row>
    <row r="153" spans="1:23" ht="30" outlineLevel="3">
      <c r="A153" s="29" t="s">
        <v>86</v>
      </c>
      <c r="B153" s="30" t="s">
        <v>28</v>
      </c>
      <c r="C153" s="30" t="s">
        <v>34</v>
      </c>
      <c r="D153" s="30" t="s">
        <v>72</v>
      </c>
      <c r="E153" s="30" t="s">
        <v>87</v>
      </c>
      <c r="F153" s="30" t="s">
        <v>6</v>
      </c>
      <c r="G153" s="30" t="s">
        <v>6</v>
      </c>
      <c r="H153" s="30"/>
      <c r="I153" s="30"/>
      <c r="J153" s="30"/>
      <c r="K153" s="30"/>
      <c r="L153" s="30"/>
      <c r="M153" s="30"/>
      <c r="N153" s="36">
        <f>N154</f>
        <v>5972511.7699999996</v>
      </c>
      <c r="O153" s="36">
        <f t="shared" ref="O153:V153" si="55">O154</f>
        <v>0</v>
      </c>
      <c r="P153" s="36">
        <f t="shared" si="55"/>
        <v>0</v>
      </c>
      <c r="Q153" s="36">
        <f t="shared" si="55"/>
        <v>0</v>
      </c>
      <c r="R153" s="36">
        <f t="shared" si="55"/>
        <v>0</v>
      </c>
      <c r="S153" s="36">
        <f t="shared" si="55"/>
        <v>0</v>
      </c>
      <c r="T153" s="36">
        <f t="shared" si="55"/>
        <v>0</v>
      </c>
      <c r="U153" s="36">
        <f t="shared" si="55"/>
        <v>1699847.21</v>
      </c>
      <c r="V153" s="36">
        <f t="shared" si="55"/>
        <v>2603483.13</v>
      </c>
      <c r="W153" s="2"/>
    </row>
    <row r="154" spans="1:23" ht="28.5" customHeight="1" outlineLevel="5">
      <c r="A154" s="29" t="s">
        <v>14</v>
      </c>
      <c r="B154" s="30" t="s">
        <v>28</v>
      </c>
      <c r="C154" s="30" t="s">
        <v>34</v>
      </c>
      <c r="D154" s="30" t="s">
        <v>72</v>
      </c>
      <c r="E154" s="30" t="s">
        <v>87</v>
      </c>
      <c r="F154" s="30" t="s">
        <v>15</v>
      </c>
      <c r="G154" s="30" t="s">
        <v>6</v>
      </c>
      <c r="H154" s="30"/>
      <c r="I154" s="30"/>
      <c r="J154" s="30"/>
      <c r="K154" s="30"/>
      <c r="L154" s="30"/>
      <c r="M154" s="30"/>
      <c r="N154" s="36">
        <f>N155+N156+N157</f>
        <v>5972511.7699999996</v>
      </c>
      <c r="O154" s="36">
        <f t="shared" ref="O154:V154" si="56">O155+O156+O157</f>
        <v>0</v>
      </c>
      <c r="P154" s="36">
        <f t="shared" si="56"/>
        <v>0</v>
      </c>
      <c r="Q154" s="36">
        <f t="shared" si="56"/>
        <v>0</v>
      </c>
      <c r="R154" s="36">
        <f t="shared" si="56"/>
        <v>0</v>
      </c>
      <c r="S154" s="36">
        <f t="shared" si="56"/>
        <v>0</v>
      </c>
      <c r="T154" s="36">
        <f t="shared" si="56"/>
        <v>0</v>
      </c>
      <c r="U154" s="36">
        <f t="shared" si="56"/>
        <v>1699847.21</v>
      </c>
      <c r="V154" s="36">
        <f t="shared" si="56"/>
        <v>2603483.13</v>
      </c>
      <c r="W154" s="2"/>
    </row>
    <row r="155" spans="1:23" outlineLevel="5">
      <c r="A155" s="29" t="s">
        <v>145</v>
      </c>
      <c r="B155" s="30" t="s">
        <v>28</v>
      </c>
      <c r="C155" s="30" t="s">
        <v>34</v>
      </c>
      <c r="D155" s="30" t="s">
        <v>72</v>
      </c>
      <c r="E155" s="30" t="s">
        <v>87</v>
      </c>
      <c r="F155" s="30" t="s">
        <v>15</v>
      </c>
      <c r="G155" s="30"/>
      <c r="H155" s="30" t="s">
        <v>139</v>
      </c>
      <c r="I155" s="30"/>
      <c r="J155" s="30"/>
      <c r="K155" s="30"/>
      <c r="L155" s="30"/>
      <c r="M155" s="30"/>
      <c r="N155" s="36">
        <f>2213979.38-38800.58+1126640-383211.03+3044520-1126640-364520-171720</f>
        <v>4300247.7699999996</v>
      </c>
      <c r="O155" s="37"/>
      <c r="P155" s="37"/>
      <c r="Q155" s="37"/>
      <c r="R155" s="37"/>
      <c r="S155" s="37"/>
      <c r="T155" s="37"/>
      <c r="U155" s="36">
        <f>4464803.63-2900000</f>
        <v>1564803.63</v>
      </c>
      <c r="V155" s="36">
        <v>2504819.2599999998</v>
      </c>
      <c r="W155" s="2"/>
    </row>
    <row r="156" spans="1:23" outlineLevel="5">
      <c r="A156" s="29" t="s">
        <v>153</v>
      </c>
      <c r="B156" s="30" t="s">
        <v>28</v>
      </c>
      <c r="C156" s="30" t="s">
        <v>34</v>
      </c>
      <c r="D156" s="30" t="s">
        <v>72</v>
      </c>
      <c r="E156" s="30" t="s">
        <v>87</v>
      </c>
      <c r="F156" s="30" t="s">
        <v>15</v>
      </c>
      <c r="G156" s="30"/>
      <c r="H156" s="30" t="s">
        <v>140</v>
      </c>
      <c r="I156" s="30"/>
      <c r="J156" s="30"/>
      <c r="K156" s="30"/>
      <c r="L156" s="30"/>
      <c r="M156" s="30"/>
      <c r="N156" s="36">
        <f>123488.97+30000+383211.03-261460+57700</f>
        <v>332940</v>
      </c>
      <c r="O156" s="37"/>
      <c r="P156" s="37"/>
      <c r="Q156" s="37"/>
      <c r="R156" s="37"/>
      <c r="S156" s="37"/>
      <c r="T156" s="37"/>
      <c r="U156" s="36">
        <v>135043.57999999999</v>
      </c>
      <c r="V156" s="36">
        <v>98663.87</v>
      </c>
      <c r="W156" s="2"/>
    </row>
    <row r="157" spans="1:23" outlineLevel="5">
      <c r="A157" s="29" t="s">
        <v>272</v>
      </c>
      <c r="B157" s="30" t="s">
        <v>28</v>
      </c>
      <c r="C157" s="30" t="s">
        <v>34</v>
      </c>
      <c r="D157" s="30" t="s">
        <v>72</v>
      </c>
      <c r="E157" s="30" t="s">
        <v>87</v>
      </c>
      <c r="F157" s="30" t="s">
        <v>15</v>
      </c>
      <c r="G157" s="30"/>
      <c r="H157" s="30" t="s">
        <v>265</v>
      </c>
      <c r="I157" s="30"/>
      <c r="J157" s="30"/>
      <c r="K157" s="30"/>
      <c r="L157" s="30"/>
      <c r="M157" s="30"/>
      <c r="N157" s="36">
        <f>820200-220876+740000</f>
        <v>1339324</v>
      </c>
      <c r="O157" s="37"/>
      <c r="P157" s="37"/>
      <c r="Q157" s="37"/>
      <c r="R157" s="37"/>
      <c r="S157" s="37"/>
      <c r="T157" s="37"/>
      <c r="U157" s="36">
        <v>0</v>
      </c>
      <c r="V157" s="36">
        <v>0</v>
      </c>
      <c r="W157" s="2"/>
    </row>
    <row r="158" spans="1:23" ht="90" outlineLevel="5">
      <c r="A158" s="29" t="s">
        <v>253</v>
      </c>
      <c r="B158" s="30" t="s">
        <v>28</v>
      </c>
      <c r="C158" s="30" t="s">
        <v>34</v>
      </c>
      <c r="D158" s="30" t="s">
        <v>72</v>
      </c>
      <c r="E158" s="30" t="s">
        <v>189</v>
      </c>
      <c r="F158" s="33" t="s">
        <v>6</v>
      </c>
      <c r="G158" s="30"/>
      <c r="H158" s="30">
        <v>21021010</v>
      </c>
      <c r="I158" s="30"/>
      <c r="J158" s="30"/>
      <c r="K158" s="30"/>
      <c r="L158" s="30"/>
      <c r="M158" s="30"/>
      <c r="N158" s="36">
        <f>N159</f>
        <v>3284680.8899999997</v>
      </c>
      <c r="O158" s="36">
        <f t="shared" ref="O158:V158" si="57">O159</f>
        <v>0</v>
      </c>
      <c r="P158" s="36">
        <f t="shared" si="57"/>
        <v>0</v>
      </c>
      <c r="Q158" s="36">
        <f t="shared" si="57"/>
        <v>0</v>
      </c>
      <c r="R158" s="36">
        <f t="shared" si="57"/>
        <v>0</v>
      </c>
      <c r="S158" s="36">
        <f t="shared" si="57"/>
        <v>0</v>
      </c>
      <c r="T158" s="36">
        <f t="shared" si="57"/>
        <v>0</v>
      </c>
      <c r="U158" s="36">
        <f t="shared" si="57"/>
        <v>0</v>
      </c>
      <c r="V158" s="36">
        <f t="shared" si="57"/>
        <v>0</v>
      </c>
      <c r="W158" s="2"/>
    </row>
    <row r="159" spans="1:23" ht="30" outlineLevel="5">
      <c r="A159" s="29" t="s">
        <v>201</v>
      </c>
      <c r="B159" s="30" t="s">
        <v>28</v>
      </c>
      <c r="C159" s="30" t="s">
        <v>34</v>
      </c>
      <c r="D159" s="30" t="s">
        <v>72</v>
      </c>
      <c r="E159" s="30" t="s">
        <v>189</v>
      </c>
      <c r="F159" s="30" t="s">
        <v>15</v>
      </c>
      <c r="G159" s="30"/>
      <c r="H159" s="30"/>
      <c r="I159" s="30"/>
      <c r="J159" s="30"/>
      <c r="K159" s="30"/>
      <c r="L159" s="30"/>
      <c r="M159" s="30"/>
      <c r="N159" s="36">
        <f>N160</f>
        <v>3284680.8899999997</v>
      </c>
      <c r="O159" s="36">
        <f t="shared" ref="O159:V159" si="58">O160</f>
        <v>0</v>
      </c>
      <c r="P159" s="36">
        <f t="shared" si="58"/>
        <v>0</v>
      </c>
      <c r="Q159" s="36">
        <f t="shared" si="58"/>
        <v>0</v>
      </c>
      <c r="R159" s="36">
        <f t="shared" si="58"/>
        <v>0</v>
      </c>
      <c r="S159" s="36">
        <f t="shared" si="58"/>
        <v>0</v>
      </c>
      <c r="T159" s="36">
        <f t="shared" si="58"/>
        <v>0</v>
      </c>
      <c r="U159" s="36">
        <f t="shared" si="58"/>
        <v>0</v>
      </c>
      <c r="V159" s="36">
        <f t="shared" si="58"/>
        <v>0</v>
      </c>
      <c r="W159" s="2"/>
    </row>
    <row r="160" spans="1:23" outlineLevel="5">
      <c r="A160" s="29" t="s">
        <v>145</v>
      </c>
      <c r="B160" s="30" t="s">
        <v>28</v>
      </c>
      <c r="C160" s="30" t="s">
        <v>34</v>
      </c>
      <c r="D160" s="30" t="s">
        <v>72</v>
      </c>
      <c r="E160" s="30" t="s">
        <v>189</v>
      </c>
      <c r="F160" s="30" t="s">
        <v>15</v>
      </c>
      <c r="G160" s="30"/>
      <c r="H160" s="30" t="s">
        <v>139</v>
      </c>
      <c r="I160" s="30"/>
      <c r="J160" s="30"/>
      <c r="K160" s="30"/>
      <c r="L160" s="30"/>
      <c r="M160" s="30"/>
      <c r="N160" s="36">
        <f>3120446.84+164234.05</f>
        <v>3284680.8899999997</v>
      </c>
      <c r="O160" s="37"/>
      <c r="P160" s="37"/>
      <c r="Q160" s="37"/>
      <c r="R160" s="37"/>
      <c r="S160" s="37"/>
      <c r="T160" s="37"/>
      <c r="U160" s="36">
        <v>0</v>
      </c>
      <c r="V160" s="36">
        <v>0</v>
      </c>
      <c r="W160" s="2"/>
    </row>
    <row r="161" spans="1:23" ht="45" outlineLevel="5">
      <c r="A161" s="29" t="s">
        <v>297</v>
      </c>
      <c r="B161" s="30" t="s">
        <v>28</v>
      </c>
      <c r="C161" s="30" t="s">
        <v>34</v>
      </c>
      <c r="D161" s="30" t="s">
        <v>72</v>
      </c>
      <c r="E161" s="30" t="s">
        <v>296</v>
      </c>
      <c r="F161" s="33" t="s">
        <v>6</v>
      </c>
      <c r="G161" s="30"/>
      <c r="H161" s="30">
        <v>22021172</v>
      </c>
      <c r="I161" s="30"/>
      <c r="J161" s="30"/>
      <c r="K161" s="30"/>
      <c r="L161" s="30"/>
      <c r="M161" s="30"/>
      <c r="N161" s="36">
        <f>N162</f>
        <v>13766070</v>
      </c>
      <c r="O161" s="36">
        <f t="shared" ref="O161:V161" si="59">O162</f>
        <v>0</v>
      </c>
      <c r="P161" s="36">
        <f t="shared" si="59"/>
        <v>0</v>
      </c>
      <c r="Q161" s="36">
        <f t="shared" si="59"/>
        <v>0</v>
      </c>
      <c r="R161" s="36">
        <f t="shared" si="59"/>
        <v>0</v>
      </c>
      <c r="S161" s="36">
        <f t="shared" si="59"/>
        <v>0</v>
      </c>
      <c r="T161" s="36">
        <f t="shared" si="59"/>
        <v>0</v>
      </c>
      <c r="U161" s="36">
        <f t="shared" si="59"/>
        <v>0</v>
      </c>
      <c r="V161" s="36">
        <f t="shared" si="59"/>
        <v>0</v>
      </c>
      <c r="W161" s="2"/>
    </row>
    <row r="162" spans="1:23" ht="30" outlineLevel="5">
      <c r="A162" s="29" t="s">
        <v>201</v>
      </c>
      <c r="B162" s="30" t="s">
        <v>28</v>
      </c>
      <c r="C162" s="30" t="s">
        <v>34</v>
      </c>
      <c r="D162" s="30" t="s">
        <v>72</v>
      </c>
      <c r="E162" s="30" t="s">
        <v>296</v>
      </c>
      <c r="F162" s="30" t="s">
        <v>15</v>
      </c>
      <c r="G162" s="30"/>
      <c r="H162" s="30"/>
      <c r="I162" s="30"/>
      <c r="J162" s="30"/>
      <c r="K162" s="30"/>
      <c r="L162" s="30"/>
      <c r="M162" s="30"/>
      <c r="N162" s="36">
        <f>N163</f>
        <v>13766070</v>
      </c>
      <c r="O162" s="36">
        <f t="shared" ref="O162:V162" si="60">O163</f>
        <v>0</v>
      </c>
      <c r="P162" s="36">
        <f t="shared" si="60"/>
        <v>0</v>
      </c>
      <c r="Q162" s="36">
        <f t="shared" si="60"/>
        <v>0</v>
      </c>
      <c r="R162" s="36">
        <f t="shared" si="60"/>
        <v>0</v>
      </c>
      <c r="S162" s="36">
        <f t="shared" si="60"/>
        <v>0</v>
      </c>
      <c r="T162" s="36">
        <f t="shared" si="60"/>
        <v>0</v>
      </c>
      <c r="U162" s="36">
        <f t="shared" si="60"/>
        <v>0</v>
      </c>
      <c r="V162" s="36">
        <f t="shared" si="60"/>
        <v>0</v>
      </c>
      <c r="W162" s="2"/>
    </row>
    <row r="163" spans="1:23" outlineLevel="5">
      <c r="A163" s="29" t="s">
        <v>145</v>
      </c>
      <c r="B163" s="30" t="s">
        <v>28</v>
      </c>
      <c r="C163" s="30" t="s">
        <v>34</v>
      </c>
      <c r="D163" s="30" t="s">
        <v>72</v>
      </c>
      <c r="E163" s="30" t="s">
        <v>296</v>
      </c>
      <c r="F163" s="30" t="s">
        <v>15</v>
      </c>
      <c r="G163" s="30"/>
      <c r="H163" s="30" t="s">
        <v>139</v>
      </c>
      <c r="I163" s="30"/>
      <c r="J163" s="30"/>
      <c r="K163" s="30"/>
      <c r="L163" s="30"/>
      <c r="M163" s="30"/>
      <c r="N163" s="36">
        <v>13766070</v>
      </c>
      <c r="O163" s="37"/>
      <c r="P163" s="37"/>
      <c r="Q163" s="37"/>
      <c r="R163" s="37"/>
      <c r="S163" s="37"/>
      <c r="T163" s="37"/>
      <c r="U163" s="36">
        <v>0</v>
      </c>
      <c r="V163" s="36">
        <v>0</v>
      </c>
      <c r="W163" s="2"/>
    </row>
    <row r="164" spans="1:23" ht="28.5" outlineLevel="2">
      <c r="A164" s="31" t="s">
        <v>88</v>
      </c>
      <c r="B164" s="30" t="s">
        <v>28</v>
      </c>
      <c r="C164" s="30" t="s">
        <v>34</v>
      </c>
      <c r="D164" s="30" t="s">
        <v>89</v>
      </c>
      <c r="E164" s="30" t="s">
        <v>5</v>
      </c>
      <c r="F164" s="30" t="s">
        <v>6</v>
      </c>
      <c r="G164" s="30" t="s">
        <v>6</v>
      </c>
      <c r="H164" s="30"/>
      <c r="I164" s="30"/>
      <c r="J164" s="30"/>
      <c r="K164" s="30"/>
      <c r="L164" s="30"/>
      <c r="M164" s="30"/>
      <c r="N164" s="36">
        <f t="shared" ref="N164:V164" si="61">N165+N169</f>
        <v>1455489.02</v>
      </c>
      <c r="O164" s="36">
        <f t="shared" si="61"/>
        <v>0</v>
      </c>
      <c r="P164" s="36">
        <f t="shared" si="61"/>
        <v>0</v>
      </c>
      <c r="Q164" s="36">
        <f t="shared" si="61"/>
        <v>0</v>
      </c>
      <c r="R164" s="36">
        <f t="shared" si="61"/>
        <v>0</v>
      </c>
      <c r="S164" s="36">
        <f t="shared" si="61"/>
        <v>0</v>
      </c>
      <c r="T164" s="36">
        <f t="shared" si="61"/>
        <v>0</v>
      </c>
      <c r="U164" s="36">
        <f t="shared" si="61"/>
        <v>514225.02</v>
      </c>
      <c r="V164" s="36">
        <f t="shared" si="61"/>
        <v>515385.02</v>
      </c>
      <c r="W164" s="2"/>
    </row>
    <row r="165" spans="1:23" ht="30" outlineLevel="3">
      <c r="A165" s="29" t="s">
        <v>90</v>
      </c>
      <c r="B165" s="30" t="s">
        <v>28</v>
      </c>
      <c r="C165" s="30" t="s">
        <v>34</v>
      </c>
      <c r="D165" s="30" t="s">
        <v>89</v>
      </c>
      <c r="E165" s="30" t="s">
        <v>91</v>
      </c>
      <c r="F165" s="30" t="s">
        <v>6</v>
      </c>
      <c r="G165" s="30" t="s">
        <v>6</v>
      </c>
      <c r="H165" s="30"/>
      <c r="I165" s="30"/>
      <c r="J165" s="30"/>
      <c r="K165" s="30"/>
      <c r="L165" s="30"/>
      <c r="M165" s="30"/>
      <c r="N165" s="36">
        <f>N166</f>
        <v>1434489.02</v>
      </c>
      <c r="O165" s="36">
        <f t="shared" ref="O165:V165" si="62">O166</f>
        <v>0</v>
      </c>
      <c r="P165" s="36">
        <f t="shared" si="62"/>
        <v>0</v>
      </c>
      <c r="Q165" s="36">
        <f t="shared" si="62"/>
        <v>0</v>
      </c>
      <c r="R165" s="36">
        <f t="shared" si="62"/>
        <v>0</v>
      </c>
      <c r="S165" s="36">
        <f t="shared" si="62"/>
        <v>0</v>
      </c>
      <c r="T165" s="36">
        <f t="shared" si="62"/>
        <v>0</v>
      </c>
      <c r="U165" s="36">
        <f t="shared" si="62"/>
        <v>500225.02</v>
      </c>
      <c r="V165" s="36">
        <f t="shared" si="62"/>
        <v>501385.02</v>
      </c>
      <c r="W165" s="2"/>
    </row>
    <row r="166" spans="1:23" ht="32.25" customHeight="1" outlineLevel="5">
      <c r="A166" s="29" t="s">
        <v>239</v>
      </c>
      <c r="B166" s="30" t="s">
        <v>28</v>
      </c>
      <c r="C166" s="30" t="s">
        <v>34</v>
      </c>
      <c r="D166" s="30" t="s">
        <v>89</v>
      </c>
      <c r="E166" s="30" t="s">
        <v>91</v>
      </c>
      <c r="F166" s="30" t="s">
        <v>15</v>
      </c>
      <c r="G166" s="30" t="s">
        <v>6</v>
      </c>
      <c r="H166" s="30"/>
      <c r="I166" s="30"/>
      <c r="J166" s="30"/>
      <c r="K166" s="30"/>
      <c r="L166" s="30"/>
      <c r="M166" s="30"/>
      <c r="N166" s="36">
        <f>N167+N168</f>
        <v>1434489.02</v>
      </c>
      <c r="O166" s="36">
        <f t="shared" ref="O166:V166" si="63">O167+O168</f>
        <v>0</v>
      </c>
      <c r="P166" s="36">
        <f t="shared" si="63"/>
        <v>0</v>
      </c>
      <c r="Q166" s="36">
        <f t="shared" si="63"/>
        <v>0</v>
      </c>
      <c r="R166" s="36">
        <f t="shared" si="63"/>
        <v>0</v>
      </c>
      <c r="S166" s="36">
        <f t="shared" si="63"/>
        <v>0</v>
      </c>
      <c r="T166" s="36">
        <f t="shared" si="63"/>
        <v>0</v>
      </c>
      <c r="U166" s="36">
        <f t="shared" si="63"/>
        <v>500225.02</v>
      </c>
      <c r="V166" s="36">
        <f t="shared" si="63"/>
        <v>501385.02</v>
      </c>
      <c r="W166" s="2"/>
    </row>
    <row r="167" spans="1:23" outlineLevel="5">
      <c r="A167" s="29" t="s">
        <v>144</v>
      </c>
      <c r="B167" s="30" t="s">
        <v>28</v>
      </c>
      <c r="C167" s="30" t="s">
        <v>34</v>
      </c>
      <c r="D167" s="30" t="s">
        <v>89</v>
      </c>
      <c r="E167" s="30" t="s">
        <v>91</v>
      </c>
      <c r="F167" s="30" t="s">
        <v>15</v>
      </c>
      <c r="G167" s="30"/>
      <c r="H167" s="30" t="s">
        <v>138</v>
      </c>
      <c r="I167" s="30"/>
      <c r="J167" s="30"/>
      <c r="K167" s="30"/>
      <c r="L167" s="30"/>
      <c r="M167" s="30"/>
      <c r="N167" s="36">
        <f>21000+4560</f>
        <v>25560</v>
      </c>
      <c r="O167" s="37"/>
      <c r="P167" s="37"/>
      <c r="Q167" s="37"/>
      <c r="R167" s="37"/>
      <c r="S167" s="37"/>
      <c r="T167" s="37"/>
      <c r="U167" s="36">
        <v>22040</v>
      </c>
      <c r="V167" s="36">
        <v>23200</v>
      </c>
      <c r="W167" s="2"/>
    </row>
    <row r="168" spans="1:23" outlineLevel="5">
      <c r="A168" s="29" t="s">
        <v>153</v>
      </c>
      <c r="B168" s="30" t="s">
        <v>28</v>
      </c>
      <c r="C168" s="30" t="s">
        <v>34</v>
      </c>
      <c r="D168" s="30" t="s">
        <v>89</v>
      </c>
      <c r="E168" s="30" t="s">
        <v>91</v>
      </c>
      <c r="F168" s="30" t="s">
        <v>15</v>
      </c>
      <c r="G168" s="30"/>
      <c r="H168" s="30" t="s">
        <v>140</v>
      </c>
      <c r="I168" s="30"/>
      <c r="J168" s="30"/>
      <c r="K168" s="30"/>
      <c r="L168" s="30"/>
      <c r="M168" s="30"/>
      <c r="N168" s="36">
        <f>1078185.02+870160-184856-350000-4560</f>
        <v>1408929.02</v>
      </c>
      <c r="O168" s="37"/>
      <c r="P168" s="37"/>
      <c r="Q168" s="37"/>
      <c r="R168" s="37"/>
      <c r="S168" s="37"/>
      <c r="T168" s="37"/>
      <c r="U168" s="36">
        <v>478185.02</v>
      </c>
      <c r="V168" s="36">
        <v>478185.02</v>
      </c>
      <c r="W168" s="2"/>
    </row>
    <row r="169" spans="1:23" ht="47.25" customHeight="1" outlineLevel="5">
      <c r="A169" s="29" t="s">
        <v>219</v>
      </c>
      <c r="B169" s="30">
        <v>922</v>
      </c>
      <c r="C169" s="30" t="s">
        <v>34</v>
      </c>
      <c r="D169" s="30" t="s">
        <v>89</v>
      </c>
      <c r="E169" s="33" t="s">
        <v>218</v>
      </c>
      <c r="F169" s="33" t="s">
        <v>6</v>
      </c>
      <c r="G169" s="30"/>
      <c r="H169" s="30"/>
      <c r="I169" s="30"/>
      <c r="J169" s="30"/>
      <c r="K169" s="30"/>
      <c r="L169" s="30"/>
      <c r="M169" s="30"/>
      <c r="N169" s="36">
        <f>N170</f>
        <v>21000</v>
      </c>
      <c r="O169" s="36">
        <f t="shared" ref="O169:V169" si="64">O170</f>
        <v>0</v>
      </c>
      <c r="P169" s="36">
        <f t="shared" si="64"/>
        <v>0</v>
      </c>
      <c r="Q169" s="36">
        <f t="shared" si="64"/>
        <v>0</v>
      </c>
      <c r="R169" s="36">
        <f t="shared" si="64"/>
        <v>0</v>
      </c>
      <c r="S169" s="36">
        <f t="shared" si="64"/>
        <v>0</v>
      </c>
      <c r="T169" s="36">
        <f t="shared" si="64"/>
        <v>0</v>
      </c>
      <c r="U169" s="36">
        <f t="shared" si="64"/>
        <v>14000</v>
      </c>
      <c r="V169" s="36">
        <f t="shared" si="64"/>
        <v>14000</v>
      </c>
      <c r="W169" s="2"/>
    </row>
    <row r="170" spans="1:23" ht="30.75" customHeight="1" outlineLevel="5">
      <c r="A170" s="59" t="s">
        <v>220</v>
      </c>
      <c r="B170" s="30" t="s">
        <v>28</v>
      </c>
      <c r="C170" s="30" t="s">
        <v>34</v>
      </c>
      <c r="D170" s="30" t="s">
        <v>89</v>
      </c>
      <c r="E170" s="33" t="s">
        <v>218</v>
      </c>
      <c r="F170" s="30" t="s">
        <v>15</v>
      </c>
      <c r="G170" s="30"/>
      <c r="H170" s="30"/>
      <c r="I170" s="30"/>
      <c r="J170" s="30"/>
      <c r="K170" s="30"/>
      <c r="L170" s="30"/>
      <c r="M170" s="30"/>
      <c r="N170" s="36">
        <f>N171</f>
        <v>21000</v>
      </c>
      <c r="O170" s="36">
        <f t="shared" ref="O170:V170" si="65">O171</f>
        <v>0</v>
      </c>
      <c r="P170" s="36">
        <f t="shared" si="65"/>
        <v>0</v>
      </c>
      <c r="Q170" s="36">
        <f t="shared" si="65"/>
        <v>0</v>
      </c>
      <c r="R170" s="36">
        <f t="shared" si="65"/>
        <v>0</v>
      </c>
      <c r="S170" s="36">
        <f t="shared" si="65"/>
        <v>0</v>
      </c>
      <c r="T170" s="36">
        <f t="shared" si="65"/>
        <v>0</v>
      </c>
      <c r="U170" s="36">
        <f t="shared" si="65"/>
        <v>14000</v>
      </c>
      <c r="V170" s="36">
        <f t="shared" si="65"/>
        <v>14000</v>
      </c>
      <c r="W170" s="2"/>
    </row>
    <row r="171" spans="1:23" ht="21" customHeight="1" outlineLevel="5">
      <c r="A171" s="59" t="s">
        <v>153</v>
      </c>
      <c r="B171" s="30" t="s">
        <v>28</v>
      </c>
      <c r="C171" s="30" t="s">
        <v>34</v>
      </c>
      <c r="D171" s="30" t="s">
        <v>89</v>
      </c>
      <c r="E171" s="33" t="s">
        <v>218</v>
      </c>
      <c r="F171" s="30" t="s">
        <v>15</v>
      </c>
      <c r="G171" s="30"/>
      <c r="H171" s="30" t="s">
        <v>140</v>
      </c>
      <c r="I171" s="30"/>
      <c r="J171" s="30"/>
      <c r="K171" s="30"/>
      <c r="L171" s="30"/>
      <c r="M171" s="30"/>
      <c r="N171" s="36">
        <f>14000+7000</f>
        <v>21000</v>
      </c>
      <c r="O171" s="37"/>
      <c r="P171" s="37"/>
      <c r="Q171" s="37"/>
      <c r="R171" s="37"/>
      <c r="S171" s="37"/>
      <c r="T171" s="37"/>
      <c r="U171" s="36">
        <v>14000</v>
      </c>
      <c r="V171" s="36">
        <v>14000</v>
      </c>
      <c r="W171" s="2"/>
    </row>
    <row r="172" spans="1:23" ht="17.25" customHeight="1" outlineLevel="1">
      <c r="A172" s="31" t="s">
        <v>205</v>
      </c>
      <c r="B172" s="30" t="s">
        <v>28</v>
      </c>
      <c r="C172" s="30" t="s">
        <v>47</v>
      </c>
      <c r="D172" s="30" t="s">
        <v>4</v>
      </c>
      <c r="E172" s="30" t="s">
        <v>5</v>
      </c>
      <c r="F172" s="30" t="s">
        <v>6</v>
      </c>
      <c r="G172" s="30" t="s">
        <v>6</v>
      </c>
      <c r="H172" s="30"/>
      <c r="I172" s="30"/>
      <c r="J172" s="30"/>
      <c r="K172" s="30"/>
      <c r="L172" s="30"/>
      <c r="M172" s="30"/>
      <c r="N172" s="36">
        <f t="shared" ref="N172:V172" si="66">N173+N198+N209</f>
        <v>175289612.32000002</v>
      </c>
      <c r="O172" s="36">
        <f t="shared" si="66"/>
        <v>0</v>
      </c>
      <c r="P172" s="36">
        <f t="shared" si="66"/>
        <v>0</v>
      </c>
      <c r="Q172" s="36">
        <f t="shared" si="66"/>
        <v>0</v>
      </c>
      <c r="R172" s="36">
        <f t="shared" si="66"/>
        <v>0</v>
      </c>
      <c r="S172" s="36">
        <f t="shared" si="66"/>
        <v>0</v>
      </c>
      <c r="T172" s="36">
        <f t="shared" si="66"/>
        <v>0</v>
      </c>
      <c r="U172" s="36">
        <f t="shared" si="66"/>
        <v>21770756.739999998</v>
      </c>
      <c r="V172" s="36">
        <f t="shared" si="66"/>
        <v>20070756.739999998</v>
      </c>
      <c r="W172" s="2"/>
    </row>
    <row r="173" spans="1:23" ht="18.75" customHeight="1" outlineLevel="2">
      <c r="A173" s="29" t="s">
        <v>92</v>
      </c>
      <c r="B173" s="30" t="s">
        <v>28</v>
      </c>
      <c r="C173" s="30" t="s">
        <v>47</v>
      </c>
      <c r="D173" s="30" t="s">
        <v>8</v>
      </c>
      <c r="E173" s="30" t="s">
        <v>5</v>
      </c>
      <c r="F173" s="30" t="s">
        <v>6</v>
      </c>
      <c r="G173" s="30" t="s">
        <v>6</v>
      </c>
      <c r="H173" s="30"/>
      <c r="I173" s="30"/>
      <c r="J173" s="30"/>
      <c r="K173" s="30"/>
      <c r="L173" s="30"/>
      <c r="M173" s="30"/>
      <c r="N173" s="36">
        <f>N174+N177+N183+N180+N189+N192+N186+N195</f>
        <v>111627158.29000001</v>
      </c>
      <c r="O173" s="36">
        <f t="shared" ref="O173:V173" si="67">O174+O177+O183+O180+O189+O192</f>
        <v>0</v>
      </c>
      <c r="P173" s="36">
        <f t="shared" si="67"/>
        <v>0</v>
      </c>
      <c r="Q173" s="36">
        <f t="shared" si="67"/>
        <v>0</v>
      </c>
      <c r="R173" s="36">
        <f t="shared" si="67"/>
        <v>0</v>
      </c>
      <c r="S173" s="36">
        <f t="shared" si="67"/>
        <v>0</v>
      </c>
      <c r="T173" s="36">
        <f t="shared" si="67"/>
        <v>0</v>
      </c>
      <c r="U173" s="36">
        <f t="shared" si="67"/>
        <v>1962553.9</v>
      </c>
      <c r="V173" s="36">
        <f t="shared" si="67"/>
        <v>1962553.9</v>
      </c>
      <c r="W173" s="2"/>
    </row>
    <row r="174" spans="1:23" ht="30" outlineLevel="3">
      <c r="A174" s="29" t="s">
        <v>93</v>
      </c>
      <c r="B174" s="30" t="s">
        <v>28</v>
      </c>
      <c r="C174" s="30" t="s">
        <v>47</v>
      </c>
      <c r="D174" s="30" t="s">
        <v>8</v>
      </c>
      <c r="E174" s="30" t="s">
        <v>94</v>
      </c>
      <c r="F174" s="30" t="s">
        <v>6</v>
      </c>
      <c r="G174" s="30" t="s">
        <v>6</v>
      </c>
      <c r="H174" s="30"/>
      <c r="I174" s="30"/>
      <c r="J174" s="30"/>
      <c r="K174" s="30"/>
      <c r="L174" s="30"/>
      <c r="M174" s="30"/>
      <c r="N174" s="36">
        <f>N175</f>
        <v>1109100</v>
      </c>
      <c r="O174" s="36">
        <f t="shared" ref="O174:V174" si="68">O175</f>
        <v>0</v>
      </c>
      <c r="P174" s="36">
        <f t="shared" si="68"/>
        <v>0</v>
      </c>
      <c r="Q174" s="36">
        <f t="shared" si="68"/>
        <v>0</v>
      </c>
      <c r="R174" s="36">
        <f t="shared" si="68"/>
        <v>0</v>
      </c>
      <c r="S174" s="36">
        <f t="shared" si="68"/>
        <v>0</v>
      </c>
      <c r="T174" s="36">
        <f t="shared" si="68"/>
        <v>0</v>
      </c>
      <c r="U174" s="36">
        <f t="shared" si="68"/>
        <v>100000</v>
      </c>
      <c r="V174" s="36">
        <f t="shared" si="68"/>
        <v>100000</v>
      </c>
      <c r="W174" s="2"/>
    </row>
    <row r="175" spans="1:23" ht="30" customHeight="1" outlineLevel="5">
      <c r="A175" s="29" t="s">
        <v>14</v>
      </c>
      <c r="B175" s="30" t="s">
        <v>28</v>
      </c>
      <c r="C175" s="30" t="s">
        <v>47</v>
      </c>
      <c r="D175" s="30" t="s">
        <v>8</v>
      </c>
      <c r="E175" s="30" t="s">
        <v>94</v>
      </c>
      <c r="F175" s="30" t="s">
        <v>15</v>
      </c>
      <c r="G175" s="30" t="s">
        <v>6</v>
      </c>
      <c r="H175" s="30"/>
      <c r="I175" s="30"/>
      <c r="J175" s="30"/>
      <c r="K175" s="30"/>
      <c r="L175" s="30"/>
      <c r="M175" s="30"/>
      <c r="N175" s="36">
        <f>N176</f>
        <v>1109100</v>
      </c>
      <c r="O175" s="36">
        <f t="shared" ref="O175:V175" si="69">O176</f>
        <v>0</v>
      </c>
      <c r="P175" s="36">
        <f t="shared" si="69"/>
        <v>0</v>
      </c>
      <c r="Q175" s="36">
        <f t="shared" si="69"/>
        <v>0</v>
      </c>
      <c r="R175" s="36">
        <f t="shared" si="69"/>
        <v>0</v>
      </c>
      <c r="S175" s="36">
        <f t="shared" si="69"/>
        <v>0</v>
      </c>
      <c r="T175" s="36">
        <f t="shared" si="69"/>
        <v>0</v>
      </c>
      <c r="U175" s="36">
        <f t="shared" si="69"/>
        <v>100000</v>
      </c>
      <c r="V175" s="36">
        <f t="shared" si="69"/>
        <v>100000</v>
      </c>
      <c r="W175" s="2"/>
    </row>
    <row r="176" spans="1:23" ht="18" customHeight="1" outlineLevel="5">
      <c r="A176" s="29" t="s">
        <v>145</v>
      </c>
      <c r="B176" s="30" t="s">
        <v>28</v>
      </c>
      <c r="C176" s="30" t="s">
        <v>47</v>
      </c>
      <c r="D176" s="30" t="s">
        <v>8</v>
      </c>
      <c r="E176" s="30" t="s">
        <v>94</v>
      </c>
      <c r="F176" s="30" t="s">
        <v>15</v>
      </c>
      <c r="G176" s="30"/>
      <c r="H176" s="30" t="s">
        <v>139</v>
      </c>
      <c r="I176" s="30"/>
      <c r="J176" s="30"/>
      <c r="K176" s="30"/>
      <c r="L176" s="30"/>
      <c r="M176" s="30"/>
      <c r="N176" s="36">
        <f>1109100</f>
        <v>1109100</v>
      </c>
      <c r="O176" s="37"/>
      <c r="P176" s="37"/>
      <c r="Q176" s="37"/>
      <c r="R176" s="37"/>
      <c r="S176" s="37"/>
      <c r="T176" s="37"/>
      <c r="U176" s="36">
        <v>100000</v>
      </c>
      <c r="V176" s="36">
        <v>100000</v>
      </c>
      <c r="W176" s="2"/>
    </row>
    <row r="177" spans="1:23" ht="45" outlineLevel="3">
      <c r="A177" s="29" t="s">
        <v>95</v>
      </c>
      <c r="B177" s="30" t="s">
        <v>28</v>
      </c>
      <c r="C177" s="30" t="s">
        <v>47</v>
      </c>
      <c r="D177" s="30" t="s">
        <v>8</v>
      </c>
      <c r="E177" s="30" t="s">
        <v>96</v>
      </c>
      <c r="F177" s="30" t="s">
        <v>6</v>
      </c>
      <c r="G177" s="30" t="s">
        <v>6</v>
      </c>
      <c r="H177" s="30"/>
      <c r="I177" s="30"/>
      <c r="J177" s="30"/>
      <c r="K177" s="30"/>
      <c r="L177" s="30"/>
      <c r="M177" s="30"/>
      <c r="N177" s="36">
        <f>N178</f>
        <v>1793953.89</v>
      </c>
      <c r="O177" s="36">
        <f t="shared" ref="O177:V177" si="70">O178</f>
        <v>0</v>
      </c>
      <c r="P177" s="36">
        <f t="shared" si="70"/>
        <v>0</v>
      </c>
      <c r="Q177" s="36">
        <f t="shared" si="70"/>
        <v>0</v>
      </c>
      <c r="R177" s="36">
        <f t="shared" si="70"/>
        <v>0</v>
      </c>
      <c r="S177" s="36">
        <f t="shared" si="70"/>
        <v>0</v>
      </c>
      <c r="T177" s="36">
        <f t="shared" si="70"/>
        <v>0</v>
      </c>
      <c r="U177" s="36">
        <f t="shared" si="70"/>
        <v>1793953.9</v>
      </c>
      <c r="V177" s="36">
        <f t="shared" si="70"/>
        <v>1793953.9</v>
      </c>
      <c r="W177" s="2"/>
    </row>
    <row r="178" spans="1:23" ht="33" customHeight="1" outlineLevel="5">
      <c r="A178" s="29" t="s">
        <v>14</v>
      </c>
      <c r="B178" s="30" t="s">
        <v>28</v>
      </c>
      <c r="C178" s="30" t="s">
        <v>47</v>
      </c>
      <c r="D178" s="30" t="s">
        <v>8</v>
      </c>
      <c r="E178" s="30" t="s">
        <v>96</v>
      </c>
      <c r="F178" s="30" t="s">
        <v>15</v>
      </c>
      <c r="G178" s="30" t="s">
        <v>6</v>
      </c>
      <c r="H178" s="30"/>
      <c r="I178" s="30"/>
      <c r="J178" s="30"/>
      <c r="K178" s="30"/>
      <c r="L178" s="30"/>
      <c r="M178" s="30"/>
      <c r="N178" s="36">
        <f>N179</f>
        <v>1793953.89</v>
      </c>
      <c r="O178" s="36">
        <f t="shared" ref="O178:V178" si="71">O179</f>
        <v>0</v>
      </c>
      <c r="P178" s="36">
        <f t="shared" si="71"/>
        <v>0</v>
      </c>
      <c r="Q178" s="36">
        <f t="shared" si="71"/>
        <v>0</v>
      </c>
      <c r="R178" s="36">
        <f t="shared" si="71"/>
        <v>0</v>
      </c>
      <c r="S178" s="36">
        <f t="shared" si="71"/>
        <v>0</v>
      </c>
      <c r="T178" s="36">
        <f t="shared" si="71"/>
        <v>0</v>
      </c>
      <c r="U178" s="36">
        <f t="shared" si="71"/>
        <v>1793953.9</v>
      </c>
      <c r="V178" s="36">
        <f t="shared" si="71"/>
        <v>1793953.9</v>
      </c>
      <c r="W178" s="2"/>
    </row>
    <row r="179" spans="1:23" outlineLevel="5">
      <c r="A179" s="29" t="s">
        <v>145</v>
      </c>
      <c r="B179" s="30" t="s">
        <v>28</v>
      </c>
      <c r="C179" s="30" t="s">
        <v>47</v>
      </c>
      <c r="D179" s="30" t="s">
        <v>8</v>
      </c>
      <c r="E179" s="30" t="s">
        <v>96</v>
      </c>
      <c r="F179" s="30" t="s">
        <v>15</v>
      </c>
      <c r="G179" s="30"/>
      <c r="H179" s="30" t="s">
        <v>139</v>
      </c>
      <c r="I179" s="30"/>
      <c r="J179" s="30"/>
      <c r="K179" s="30"/>
      <c r="L179" s="30"/>
      <c r="M179" s="30"/>
      <c r="N179" s="36">
        <v>1793953.89</v>
      </c>
      <c r="O179" s="37"/>
      <c r="P179" s="37"/>
      <c r="Q179" s="37"/>
      <c r="R179" s="37"/>
      <c r="S179" s="37"/>
      <c r="T179" s="37"/>
      <c r="U179" s="36">
        <v>1793953.9</v>
      </c>
      <c r="V179" s="36">
        <v>1793953.9</v>
      </c>
      <c r="W179" s="2"/>
    </row>
    <row r="180" spans="1:23" ht="36" customHeight="1" outlineLevel="5">
      <c r="A180" s="58" t="s">
        <v>216</v>
      </c>
      <c r="B180" s="57">
        <v>922</v>
      </c>
      <c r="C180" s="30" t="s">
        <v>47</v>
      </c>
      <c r="D180" s="30" t="s">
        <v>8</v>
      </c>
      <c r="E180" s="33" t="s">
        <v>215</v>
      </c>
      <c r="F180" s="33" t="s">
        <v>6</v>
      </c>
      <c r="G180" s="30"/>
      <c r="H180" s="30"/>
      <c r="I180" s="30"/>
      <c r="J180" s="30"/>
      <c r="K180" s="30"/>
      <c r="L180" s="30"/>
      <c r="M180" s="30"/>
      <c r="N180" s="36">
        <f>N181</f>
        <v>45000</v>
      </c>
      <c r="O180" s="36">
        <f t="shared" ref="O180:V180" si="72">O181</f>
        <v>0</v>
      </c>
      <c r="P180" s="36">
        <f t="shared" si="72"/>
        <v>0</v>
      </c>
      <c r="Q180" s="36">
        <f t="shared" si="72"/>
        <v>0</v>
      </c>
      <c r="R180" s="36">
        <f t="shared" si="72"/>
        <v>0</v>
      </c>
      <c r="S180" s="36">
        <f t="shared" si="72"/>
        <v>0</v>
      </c>
      <c r="T180" s="36">
        <f t="shared" si="72"/>
        <v>0</v>
      </c>
      <c r="U180" s="36">
        <f t="shared" si="72"/>
        <v>45000</v>
      </c>
      <c r="V180" s="36">
        <f t="shared" si="72"/>
        <v>45000</v>
      </c>
      <c r="W180" s="2"/>
    </row>
    <row r="181" spans="1:23" ht="30.75" customHeight="1" outlineLevel="5">
      <c r="A181" s="29" t="s">
        <v>14</v>
      </c>
      <c r="B181" s="57">
        <v>922</v>
      </c>
      <c r="C181" s="30" t="s">
        <v>47</v>
      </c>
      <c r="D181" s="30" t="s">
        <v>8</v>
      </c>
      <c r="E181" s="33" t="s">
        <v>215</v>
      </c>
      <c r="F181" s="33" t="s">
        <v>15</v>
      </c>
      <c r="G181" s="30"/>
      <c r="H181" s="30"/>
      <c r="I181" s="30"/>
      <c r="J181" s="30"/>
      <c r="K181" s="30"/>
      <c r="L181" s="30"/>
      <c r="M181" s="30"/>
      <c r="N181" s="36">
        <f>N182</f>
        <v>45000</v>
      </c>
      <c r="O181" s="36">
        <f t="shared" ref="O181:V181" si="73">O182</f>
        <v>0</v>
      </c>
      <c r="P181" s="36">
        <f t="shared" si="73"/>
        <v>0</v>
      </c>
      <c r="Q181" s="36">
        <f t="shared" si="73"/>
        <v>0</v>
      </c>
      <c r="R181" s="36">
        <f t="shared" si="73"/>
        <v>0</v>
      </c>
      <c r="S181" s="36">
        <f t="shared" si="73"/>
        <v>0</v>
      </c>
      <c r="T181" s="36">
        <f t="shared" si="73"/>
        <v>0</v>
      </c>
      <c r="U181" s="36">
        <f t="shared" si="73"/>
        <v>45000</v>
      </c>
      <c r="V181" s="36">
        <f t="shared" si="73"/>
        <v>45000</v>
      </c>
      <c r="W181" s="2"/>
    </row>
    <row r="182" spans="1:23" ht="23.25" customHeight="1" outlineLevel="5">
      <c r="A182" s="46" t="s">
        <v>146</v>
      </c>
      <c r="B182" s="30">
        <v>922</v>
      </c>
      <c r="C182" s="30" t="s">
        <v>47</v>
      </c>
      <c r="D182" s="30" t="s">
        <v>8</v>
      </c>
      <c r="E182" s="33" t="s">
        <v>215</v>
      </c>
      <c r="F182" s="33" t="s">
        <v>15</v>
      </c>
      <c r="G182" s="30"/>
      <c r="H182" s="30" t="s">
        <v>140</v>
      </c>
      <c r="I182" s="30"/>
      <c r="J182" s="30"/>
      <c r="K182" s="30"/>
      <c r="L182" s="30"/>
      <c r="M182" s="30"/>
      <c r="N182" s="36">
        <f>45000</f>
        <v>45000</v>
      </c>
      <c r="O182" s="37"/>
      <c r="P182" s="37"/>
      <c r="Q182" s="37"/>
      <c r="R182" s="37"/>
      <c r="S182" s="37"/>
      <c r="T182" s="37"/>
      <c r="U182" s="36">
        <v>45000</v>
      </c>
      <c r="V182" s="36">
        <v>45000</v>
      </c>
      <c r="W182" s="2"/>
    </row>
    <row r="183" spans="1:23" ht="30" outlineLevel="3">
      <c r="A183" s="29" t="s">
        <v>97</v>
      </c>
      <c r="B183" s="30" t="s">
        <v>28</v>
      </c>
      <c r="C183" s="30" t="s">
        <v>47</v>
      </c>
      <c r="D183" s="30" t="s">
        <v>8</v>
      </c>
      <c r="E183" s="30" t="s">
        <v>98</v>
      </c>
      <c r="F183" s="30" t="s">
        <v>6</v>
      </c>
      <c r="G183" s="30" t="s">
        <v>6</v>
      </c>
      <c r="H183" s="30"/>
      <c r="I183" s="30"/>
      <c r="J183" s="30"/>
      <c r="K183" s="30"/>
      <c r="L183" s="30"/>
      <c r="M183" s="30"/>
      <c r="N183" s="36">
        <f>N184</f>
        <v>48600</v>
      </c>
      <c r="O183" s="36">
        <f t="shared" ref="O183:V183" si="74">O184</f>
        <v>0</v>
      </c>
      <c r="P183" s="36">
        <f t="shared" si="74"/>
        <v>0</v>
      </c>
      <c r="Q183" s="36">
        <f t="shared" si="74"/>
        <v>0</v>
      </c>
      <c r="R183" s="36">
        <f t="shared" si="74"/>
        <v>0</v>
      </c>
      <c r="S183" s="36">
        <f t="shared" si="74"/>
        <v>0</v>
      </c>
      <c r="T183" s="36">
        <f t="shared" si="74"/>
        <v>0</v>
      </c>
      <c r="U183" s="36">
        <f t="shared" si="74"/>
        <v>23600</v>
      </c>
      <c r="V183" s="36">
        <f t="shared" si="74"/>
        <v>23600</v>
      </c>
      <c r="W183" s="2"/>
    </row>
    <row r="184" spans="1:23" ht="33" customHeight="1" outlineLevel="5">
      <c r="A184" s="29" t="s">
        <v>229</v>
      </c>
      <c r="B184" s="30" t="s">
        <v>28</v>
      </c>
      <c r="C184" s="30" t="s">
        <v>47</v>
      </c>
      <c r="D184" s="30" t="s">
        <v>8</v>
      </c>
      <c r="E184" s="30" t="s">
        <v>98</v>
      </c>
      <c r="F184" s="30" t="s">
        <v>15</v>
      </c>
      <c r="G184" s="30" t="s">
        <v>6</v>
      </c>
      <c r="H184" s="30"/>
      <c r="I184" s="30"/>
      <c r="J184" s="30"/>
      <c r="K184" s="30"/>
      <c r="L184" s="30"/>
      <c r="M184" s="30"/>
      <c r="N184" s="36">
        <f>N185</f>
        <v>48600</v>
      </c>
      <c r="O184" s="36">
        <f t="shared" ref="O184:V184" si="75">O185</f>
        <v>0</v>
      </c>
      <c r="P184" s="36">
        <f t="shared" si="75"/>
        <v>0</v>
      </c>
      <c r="Q184" s="36">
        <f t="shared" si="75"/>
        <v>0</v>
      </c>
      <c r="R184" s="36">
        <f t="shared" si="75"/>
        <v>0</v>
      </c>
      <c r="S184" s="36">
        <f t="shared" si="75"/>
        <v>0</v>
      </c>
      <c r="T184" s="36">
        <f t="shared" si="75"/>
        <v>0</v>
      </c>
      <c r="U184" s="36">
        <f t="shared" si="75"/>
        <v>23600</v>
      </c>
      <c r="V184" s="36">
        <f t="shared" si="75"/>
        <v>23600</v>
      </c>
      <c r="W184" s="2"/>
    </row>
    <row r="185" spans="1:23" outlineLevel="5">
      <c r="A185" s="29" t="s">
        <v>153</v>
      </c>
      <c r="B185" s="30" t="s">
        <v>28</v>
      </c>
      <c r="C185" s="30" t="s">
        <v>47</v>
      </c>
      <c r="D185" s="30" t="s">
        <v>8</v>
      </c>
      <c r="E185" s="30" t="s">
        <v>98</v>
      </c>
      <c r="F185" s="30" t="s">
        <v>15</v>
      </c>
      <c r="G185" s="30"/>
      <c r="H185" s="30" t="s">
        <v>140</v>
      </c>
      <c r="I185" s="30"/>
      <c r="J185" s="30"/>
      <c r="K185" s="30"/>
      <c r="L185" s="30"/>
      <c r="M185" s="30"/>
      <c r="N185" s="36">
        <f>23600+25000</f>
        <v>48600</v>
      </c>
      <c r="O185" s="37"/>
      <c r="P185" s="37"/>
      <c r="Q185" s="37"/>
      <c r="R185" s="37"/>
      <c r="S185" s="37"/>
      <c r="T185" s="37"/>
      <c r="U185" s="36">
        <v>23600</v>
      </c>
      <c r="V185" s="36">
        <v>23600</v>
      </c>
      <c r="W185" s="2"/>
    </row>
    <row r="186" spans="1:23" ht="19.5" customHeight="1" outlineLevel="5">
      <c r="A186" s="29" t="s">
        <v>268</v>
      </c>
      <c r="B186" s="30">
        <v>922</v>
      </c>
      <c r="C186" s="33" t="s">
        <v>47</v>
      </c>
      <c r="D186" s="33" t="s">
        <v>8</v>
      </c>
      <c r="E186" s="33" t="s">
        <v>269</v>
      </c>
      <c r="F186" s="33" t="s">
        <v>6</v>
      </c>
      <c r="G186" s="30"/>
      <c r="H186" s="30"/>
      <c r="I186" s="30"/>
      <c r="J186" s="30"/>
      <c r="K186" s="30"/>
      <c r="L186" s="30"/>
      <c r="M186" s="30"/>
      <c r="N186" s="36">
        <f>N187</f>
        <v>316750</v>
      </c>
      <c r="O186" s="37"/>
      <c r="P186" s="37"/>
      <c r="Q186" s="37"/>
      <c r="R186" s="37"/>
      <c r="S186" s="37"/>
      <c r="T186" s="37"/>
      <c r="U186" s="36">
        <v>0</v>
      </c>
      <c r="V186" s="36">
        <v>0</v>
      </c>
      <c r="W186" s="2"/>
    </row>
    <row r="187" spans="1:23" ht="30" outlineLevel="5">
      <c r="A187" s="29" t="s">
        <v>270</v>
      </c>
      <c r="B187" s="30">
        <v>922</v>
      </c>
      <c r="C187" s="33" t="s">
        <v>47</v>
      </c>
      <c r="D187" s="33" t="s">
        <v>8</v>
      </c>
      <c r="E187" s="33" t="s">
        <v>269</v>
      </c>
      <c r="F187" s="30">
        <v>200</v>
      </c>
      <c r="G187" s="30"/>
      <c r="H187" s="30"/>
      <c r="I187" s="30"/>
      <c r="J187" s="30"/>
      <c r="K187" s="30"/>
      <c r="L187" s="30"/>
      <c r="M187" s="30"/>
      <c r="N187" s="36">
        <f>N188</f>
        <v>316750</v>
      </c>
      <c r="O187" s="37"/>
      <c r="P187" s="37"/>
      <c r="Q187" s="37"/>
      <c r="R187" s="37"/>
      <c r="S187" s="37"/>
      <c r="T187" s="37"/>
      <c r="U187" s="36">
        <v>0</v>
      </c>
      <c r="V187" s="36">
        <v>0</v>
      </c>
      <c r="W187" s="2"/>
    </row>
    <row r="188" spans="1:23" ht="18.75" customHeight="1" outlineLevel="5">
      <c r="A188" s="29" t="s">
        <v>153</v>
      </c>
      <c r="B188" s="30">
        <v>922</v>
      </c>
      <c r="C188" s="33" t="s">
        <v>47</v>
      </c>
      <c r="D188" s="33" t="s">
        <v>8</v>
      </c>
      <c r="E188" s="33" t="s">
        <v>269</v>
      </c>
      <c r="F188" s="30">
        <v>200</v>
      </c>
      <c r="G188" s="30"/>
      <c r="H188" s="30" t="s">
        <v>140</v>
      </c>
      <c r="I188" s="30"/>
      <c r="J188" s="30"/>
      <c r="K188" s="30"/>
      <c r="L188" s="30"/>
      <c r="M188" s="30"/>
      <c r="N188" s="36">
        <v>316750</v>
      </c>
      <c r="O188" s="37"/>
      <c r="P188" s="37"/>
      <c r="Q188" s="37"/>
      <c r="R188" s="37"/>
      <c r="S188" s="37"/>
      <c r="T188" s="37"/>
      <c r="U188" s="36">
        <v>0</v>
      </c>
      <c r="V188" s="36">
        <v>0</v>
      </c>
      <c r="W188" s="2"/>
    </row>
    <row r="189" spans="1:23" ht="120.75" customHeight="1" outlineLevel="5">
      <c r="A189" s="29" t="s">
        <v>258</v>
      </c>
      <c r="B189" s="30">
        <v>922</v>
      </c>
      <c r="C189" s="30" t="s">
        <v>47</v>
      </c>
      <c r="D189" s="30" t="s">
        <v>8</v>
      </c>
      <c r="E189" s="33" t="s">
        <v>254</v>
      </c>
      <c r="F189" s="33" t="s">
        <v>6</v>
      </c>
      <c r="G189" s="30"/>
      <c r="H189" s="30">
        <v>22004063</v>
      </c>
      <c r="I189" s="30"/>
      <c r="J189" s="30"/>
      <c r="K189" s="30"/>
      <c r="L189" s="30"/>
      <c r="M189" s="30"/>
      <c r="N189" s="36">
        <f>N190+N191</f>
        <v>106158311</v>
      </c>
      <c r="O189" s="36">
        <f t="shared" ref="O189:V189" si="76">O190</f>
        <v>0</v>
      </c>
      <c r="P189" s="36">
        <f t="shared" si="76"/>
        <v>0</v>
      </c>
      <c r="Q189" s="36">
        <f t="shared" si="76"/>
        <v>0</v>
      </c>
      <c r="R189" s="36">
        <f t="shared" si="76"/>
        <v>0</v>
      </c>
      <c r="S189" s="36">
        <f t="shared" si="76"/>
        <v>0</v>
      </c>
      <c r="T189" s="36">
        <f t="shared" si="76"/>
        <v>0</v>
      </c>
      <c r="U189" s="36">
        <f t="shared" si="76"/>
        <v>0</v>
      </c>
      <c r="V189" s="36">
        <f t="shared" si="76"/>
        <v>0</v>
      </c>
      <c r="W189" s="2"/>
    </row>
    <row r="190" spans="1:23" ht="30" outlineLevel="5">
      <c r="A190" s="29" t="s">
        <v>217</v>
      </c>
      <c r="B190" s="30">
        <v>922</v>
      </c>
      <c r="C190" s="30" t="s">
        <v>47</v>
      </c>
      <c r="D190" s="30" t="s">
        <v>8</v>
      </c>
      <c r="E190" s="33" t="s">
        <v>254</v>
      </c>
      <c r="F190" s="30">
        <v>400</v>
      </c>
      <c r="G190" s="30"/>
      <c r="H190" s="30"/>
      <c r="I190" s="30"/>
      <c r="J190" s="30"/>
      <c r="K190" s="30"/>
      <c r="L190" s="30"/>
      <c r="M190" s="30"/>
      <c r="N190" s="36">
        <f>106158311-727234.2-217493.99</f>
        <v>105213582.81</v>
      </c>
      <c r="O190" s="37"/>
      <c r="P190" s="37"/>
      <c r="Q190" s="37"/>
      <c r="R190" s="37"/>
      <c r="S190" s="37"/>
      <c r="T190" s="37"/>
      <c r="U190" s="36">
        <v>0</v>
      </c>
      <c r="V190" s="36">
        <v>0</v>
      </c>
      <c r="W190" s="2"/>
    </row>
    <row r="191" spans="1:23" ht="19.5" customHeight="1" outlineLevel="5">
      <c r="A191" s="29" t="s">
        <v>290</v>
      </c>
      <c r="B191" s="30">
        <v>922</v>
      </c>
      <c r="C191" s="30" t="s">
        <v>47</v>
      </c>
      <c r="D191" s="30" t="s">
        <v>8</v>
      </c>
      <c r="E191" s="33" t="s">
        <v>254</v>
      </c>
      <c r="F191" s="30">
        <v>800</v>
      </c>
      <c r="G191" s="30"/>
      <c r="H191" s="30"/>
      <c r="I191" s="30"/>
      <c r="J191" s="30"/>
      <c r="K191" s="30"/>
      <c r="L191" s="30"/>
      <c r="M191" s="30"/>
      <c r="N191" s="36">
        <f>727234.2+217493.99</f>
        <v>944728.19</v>
      </c>
      <c r="O191" s="37"/>
      <c r="P191" s="37"/>
      <c r="Q191" s="37"/>
      <c r="R191" s="37"/>
      <c r="S191" s="37"/>
      <c r="T191" s="37"/>
      <c r="U191" s="36">
        <v>0</v>
      </c>
      <c r="V191" s="36">
        <v>0</v>
      </c>
      <c r="W191" s="2"/>
    </row>
    <row r="192" spans="1:23" ht="88.5" customHeight="1" outlineLevel="5">
      <c r="A192" s="29" t="s">
        <v>257</v>
      </c>
      <c r="B192" s="30">
        <v>922</v>
      </c>
      <c r="C192" s="30" t="s">
        <v>47</v>
      </c>
      <c r="D192" s="30" t="s">
        <v>8</v>
      </c>
      <c r="E192" s="30" t="s">
        <v>274</v>
      </c>
      <c r="F192" s="33" t="s">
        <v>6</v>
      </c>
      <c r="G192" s="30"/>
      <c r="H192" s="30">
        <v>22004064</v>
      </c>
      <c r="I192" s="30"/>
      <c r="J192" s="30"/>
      <c r="K192" s="30"/>
      <c r="L192" s="30"/>
      <c r="M192" s="30"/>
      <c r="N192" s="36">
        <f>N193+N194</f>
        <v>1072306</v>
      </c>
      <c r="O192" s="36">
        <f t="shared" ref="O192:V192" si="77">O193</f>
        <v>0</v>
      </c>
      <c r="P192" s="36">
        <f t="shared" si="77"/>
        <v>0</v>
      </c>
      <c r="Q192" s="36">
        <f t="shared" si="77"/>
        <v>0</v>
      </c>
      <c r="R192" s="36">
        <f t="shared" si="77"/>
        <v>0</v>
      </c>
      <c r="S192" s="36">
        <f t="shared" si="77"/>
        <v>0</v>
      </c>
      <c r="T192" s="36">
        <f t="shared" si="77"/>
        <v>0</v>
      </c>
      <c r="U192" s="36">
        <f t="shared" si="77"/>
        <v>0</v>
      </c>
      <c r="V192" s="36">
        <f t="shared" si="77"/>
        <v>0</v>
      </c>
      <c r="W192" s="2"/>
    </row>
    <row r="193" spans="1:23" ht="30" outlineLevel="5">
      <c r="A193" s="29" t="s">
        <v>256</v>
      </c>
      <c r="B193" s="30">
        <v>922</v>
      </c>
      <c r="C193" s="30" t="s">
        <v>47</v>
      </c>
      <c r="D193" s="30" t="s">
        <v>8</v>
      </c>
      <c r="E193" s="30" t="s">
        <v>274</v>
      </c>
      <c r="F193" s="30">
        <v>400</v>
      </c>
      <c r="G193" s="30"/>
      <c r="H193" s="30"/>
      <c r="I193" s="30"/>
      <c r="J193" s="30"/>
      <c r="K193" s="30"/>
      <c r="L193" s="30"/>
      <c r="M193" s="30"/>
      <c r="N193" s="36">
        <f>1072306-7345.8-2196.91</f>
        <v>1062763.29</v>
      </c>
      <c r="O193" s="37"/>
      <c r="P193" s="37"/>
      <c r="Q193" s="37"/>
      <c r="R193" s="37"/>
      <c r="S193" s="37"/>
      <c r="T193" s="37"/>
      <c r="U193" s="36">
        <v>0</v>
      </c>
      <c r="V193" s="36">
        <v>0</v>
      </c>
      <c r="W193" s="2"/>
    </row>
    <row r="194" spans="1:23" ht="21.75" customHeight="1" outlineLevel="5">
      <c r="A194" s="29" t="s">
        <v>291</v>
      </c>
      <c r="B194" s="30">
        <v>922</v>
      </c>
      <c r="C194" s="30" t="s">
        <v>47</v>
      </c>
      <c r="D194" s="30" t="s">
        <v>8</v>
      </c>
      <c r="E194" s="30" t="s">
        <v>274</v>
      </c>
      <c r="F194" s="30">
        <v>800</v>
      </c>
      <c r="G194" s="30"/>
      <c r="H194" s="30"/>
      <c r="I194" s="30"/>
      <c r="J194" s="30"/>
      <c r="K194" s="30"/>
      <c r="L194" s="30"/>
      <c r="M194" s="30"/>
      <c r="N194" s="36">
        <f>7345.8+2196.91</f>
        <v>9542.7099999999991</v>
      </c>
      <c r="O194" s="37"/>
      <c r="P194" s="37"/>
      <c r="Q194" s="37"/>
      <c r="R194" s="37"/>
      <c r="S194" s="37"/>
      <c r="T194" s="37"/>
      <c r="U194" s="36">
        <v>0</v>
      </c>
      <c r="V194" s="36">
        <v>0</v>
      </c>
      <c r="W194" s="2"/>
    </row>
    <row r="195" spans="1:23" ht="90" outlineLevel="5">
      <c r="A195" s="29" t="s">
        <v>275</v>
      </c>
      <c r="B195" s="30">
        <v>922</v>
      </c>
      <c r="C195" s="30" t="s">
        <v>47</v>
      </c>
      <c r="D195" s="30" t="s">
        <v>8</v>
      </c>
      <c r="E195" s="30" t="s">
        <v>255</v>
      </c>
      <c r="F195" s="33" t="s">
        <v>6</v>
      </c>
      <c r="G195" s="30"/>
      <c r="H195" s="30"/>
      <c r="I195" s="30"/>
      <c r="J195" s="30"/>
      <c r="K195" s="30"/>
      <c r="L195" s="30"/>
      <c r="M195" s="30"/>
      <c r="N195" s="36">
        <f>N196+N197</f>
        <v>1083137.3999999999</v>
      </c>
      <c r="O195" s="37"/>
      <c r="P195" s="37"/>
      <c r="Q195" s="37"/>
      <c r="R195" s="37"/>
      <c r="S195" s="37"/>
      <c r="T195" s="37"/>
      <c r="U195" s="36">
        <v>0</v>
      </c>
      <c r="V195" s="36">
        <v>0</v>
      </c>
      <c r="W195" s="2"/>
    </row>
    <row r="196" spans="1:23" ht="30" outlineLevel="5">
      <c r="A196" s="29" t="s">
        <v>256</v>
      </c>
      <c r="B196" s="30">
        <v>922</v>
      </c>
      <c r="C196" s="30" t="s">
        <v>47</v>
      </c>
      <c r="D196" s="30" t="s">
        <v>8</v>
      </c>
      <c r="E196" s="30" t="s">
        <v>255</v>
      </c>
      <c r="F196" s="30">
        <v>400</v>
      </c>
      <c r="G196" s="30"/>
      <c r="H196" s="30"/>
      <c r="I196" s="30"/>
      <c r="J196" s="30"/>
      <c r="K196" s="30"/>
      <c r="L196" s="30"/>
      <c r="M196" s="30"/>
      <c r="N196" s="36">
        <f>1083137.4-7420-2219.1</f>
        <v>1073498.2999999998</v>
      </c>
      <c r="O196" s="37"/>
      <c r="P196" s="37"/>
      <c r="Q196" s="37"/>
      <c r="R196" s="37"/>
      <c r="S196" s="37"/>
      <c r="T196" s="37"/>
      <c r="U196" s="36">
        <v>0</v>
      </c>
      <c r="V196" s="36">
        <v>0</v>
      </c>
      <c r="W196" s="2"/>
    </row>
    <row r="197" spans="1:23" ht="18" customHeight="1" outlineLevel="5">
      <c r="A197" s="29" t="s">
        <v>291</v>
      </c>
      <c r="B197" s="30">
        <v>922</v>
      </c>
      <c r="C197" s="30" t="s">
        <v>47</v>
      </c>
      <c r="D197" s="30" t="s">
        <v>8</v>
      </c>
      <c r="E197" s="30" t="s">
        <v>255</v>
      </c>
      <c r="F197" s="30">
        <v>800</v>
      </c>
      <c r="G197" s="30"/>
      <c r="H197" s="30"/>
      <c r="I197" s="30"/>
      <c r="J197" s="30"/>
      <c r="K197" s="30"/>
      <c r="L197" s="30"/>
      <c r="M197" s="30"/>
      <c r="N197" s="36">
        <f>7420+2219.1</f>
        <v>9639.1</v>
      </c>
      <c r="O197" s="37"/>
      <c r="P197" s="37"/>
      <c r="Q197" s="37"/>
      <c r="R197" s="37"/>
      <c r="S197" s="37"/>
      <c r="T197" s="37"/>
      <c r="U197" s="36">
        <v>0</v>
      </c>
      <c r="V197" s="36">
        <v>0</v>
      </c>
      <c r="W197" s="2"/>
    </row>
    <row r="198" spans="1:23" ht="18.75" customHeight="1" outlineLevel="2">
      <c r="A198" s="29" t="s">
        <v>99</v>
      </c>
      <c r="B198" s="30" t="s">
        <v>28</v>
      </c>
      <c r="C198" s="30" t="s">
        <v>47</v>
      </c>
      <c r="D198" s="30" t="s">
        <v>30</v>
      </c>
      <c r="E198" s="30" t="s">
        <v>5</v>
      </c>
      <c r="F198" s="30" t="s">
        <v>6</v>
      </c>
      <c r="G198" s="30" t="s">
        <v>6</v>
      </c>
      <c r="H198" s="30"/>
      <c r="I198" s="30"/>
      <c r="J198" s="30"/>
      <c r="K198" s="30"/>
      <c r="L198" s="30"/>
      <c r="M198" s="30"/>
      <c r="N198" s="36">
        <f>N199+N206+N203</f>
        <v>1192151.3999999999</v>
      </c>
      <c r="O198" s="36">
        <f t="shared" ref="O198:V198" si="78">O199+O206</f>
        <v>0</v>
      </c>
      <c r="P198" s="36">
        <f t="shared" si="78"/>
        <v>0</v>
      </c>
      <c r="Q198" s="36">
        <f t="shared" si="78"/>
        <v>0</v>
      </c>
      <c r="R198" s="36">
        <f t="shared" si="78"/>
        <v>0</v>
      </c>
      <c r="S198" s="36">
        <f t="shared" si="78"/>
        <v>0</v>
      </c>
      <c r="T198" s="36">
        <f t="shared" si="78"/>
        <v>0</v>
      </c>
      <c r="U198" s="36">
        <f t="shared" si="78"/>
        <v>289242.40000000002</v>
      </c>
      <c r="V198" s="36">
        <f t="shared" si="78"/>
        <v>289242.40000000002</v>
      </c>
      <c r="W198" s="2"/>
    </row>
    <row r="199" spans="1:23" ht="30" outlineLevel="3">
      <c r="A199" s="29" t="s">
        <v>100</v>
      </c>
      <c r="B199" s="30" t="s">
        <v>28</v>
      </c>
      <c r="C199" s="30" t="s">
        <v>47</v>
      </c>
      <c r="D199" s="30" t="s">
        <v>30</v>
      </c>
      <c r="E199" s="30" t="s">
        <v>101</v>
      </c>
      <c r="F199" s="30" t="s">
        <v>6</v>
      </c>
      <c r="G199" s="30" t="s">
        <v>6</v>
      </c>
      <c r="H199" s="30"/>
      <c r="I199" s="30"/>
      <c r="J199" s="30"/>
      <c r="K199" s="30"/>
      <c r="L199" s="30"/>
      <c r="M199" s="30"/>
      <c r="N199" s="36">
        <f>N200</f>
        <v>1052151.3999999999</v>
      </c>
      <c r="O199" s="36">
        <f t="shared" ref="O199:V199" si="79">O200</f>
        <v>0</v>
      </c>
      <c r="P199" s="36">
        <f t="shared" si="79"/>
        <v>0</v>
      </c>
      <c r="Q199" s="36">
        <f t="shared" si="79"/>
        <v>0</v>
      </c>
      <c r="R199" s="36">
        <f t="shared" si="79"/>
        <v>0</v>
      </c>
      <c r="S199" s="36">
        <f t="shared" si="79"/>
        <v>0</v>
      </c>
      <c r="T199" s="36">
        <f t="shared" si="79"/>
        <v>0</v>
      </c>
      <c r="U199" s="36">
        <f t="shared" si="79"/>
        <v>229242.4</v>
      </c>
      <c r="V199" s="36">
        <f t="shared" si="79"/>
        <v>229242.4</v>
      </c>
      <c r="W199" s="2"/>
    </row>
    <row r="200" spans="1:23" ht="32.25" customHeight="1" outlineLevel="5">
      <c r="A200" s="29" t="s">
        <v>14</v>
      </c>
      <c r="B200" s="30" t="s">
        <v>28</v>
      </c>
      <c r="C200" s="30" t="s">
        <v>47</v>
      </c>
      <c r="D200" s="30" t="s">
        <v>30</v>
      </c>
      <c r="E200" s="30" t="s">
        <v>101</v>
      </c>
      <c r="F200" s="30" t="s">
        <v>15</v>
      </c>
      <c r="G200" s="30" t="s">
        <v>6</v>
      </c>
      <c r="H200" s="30"/>
      <c r="I200" s="30"/>
      <c r="J200" s="30"/>
      <c r="K200" s="30"/>
      <c r="L200" s="30"/>
      <c r="M200" s="30"/>
      <c r="N200" s="36">
        <f>N201+N202</f>
        <v>1052151.3999999999</v>
      </c>
      <c r="O200" s="36">
        <f t="shared" ref="O200:V200" si="80">O201+O202</f>
        <v>0</v>
      </c>
      <c r="P200" s="36">
        <f t="shared" si="80"/>
        <v>0</v>
      </c>
      <c r="Q200" s="36">
        <f t="shared" si="80"/>
        <v>0</v>
      </c>
      <c r="R200" s="36">
        <f t="shared" si="80"/>
        <v>0</v>
      </c>
      <c r="S200" s="36">
        <f t="shared" si="80"/>
        <v>0</v>
      </c>
      <c r="T200" s="36">
        <f t="shared" si="80"/>
        <v>0</v>
      </c>
      <c r="U200" s="36">
        <f t="shared" si="80"/>
        <v>229242.4</v>
      </c>
      <c r="V200" s="36">
        <f t="shared" si="80"/>
        <v>229242.4</v>
      </c>
      <c r="W200" s="2"/>
    </row>
    <row r="201" spans="1:23" ht="18.75" customHeight="1" outlineLevel="5">
      <c r="A201" s="29" t="s">
        <v>145</v>
      </c>
      <c r="B201" s="30" t="s">
        <v>28</v>
      </c>
      <c r="C201" s="30" t="s">
        <v>47</v>
      </c>
      <c r="D201" s="30" t="s">
        <v>30</v>
      </c>
      <c r="E201" s="30" t="s">
        <v>101</v>
      </c>
      <c r="F201" s="30" t="s">
        <v>15</v>
      </c>
      <c r="G201" s="30"/>
      <c r="H201" s="30" t="s">
        <v>139</v>
      </c>
      <c r="I201" s="30"/>
      <c r="J201" s="30"/>
      <c r="K201" s="30"/>
      <c r="L201" s="30"/>
      <c r="M201" s="30"/>
      <c r="N201" s="36">
        <f>349242.4+242209</f>
        <v>591451.4</v>
      </c>
      <c r="O201" s="37"/>
      <c r="P201" s="37"/>
      <c r="Q201" s="37"/>
      <c r="R201" s="37"/>
      <c r="S201" s="37"/>
      <c r="T201" s="37"/>
      <c r="U201" s="36">
        <v>229242.4</v>
      </c>
      <c r="V201" s="36">
        <v>229242.4</v>
      </c>
      <c r="W201" s="2"/>
    </row>
    <row r="202" spans="1:23" ht="18.75" customHeight="1" outlineLevel="5">
      <c r="A202" s="29" t="s">
        <v>146</v>
      </c>
      <c r="B202" s="30" t="s">
        <v>28</v>
      </c>
      <c r="C202" s="30" t="s">
        <v>47</v>
      </c>
      <c r="D202" s="30" t="s">
        <v>30</v>
      </c>
      <c r="E202" s="30" t="s">
        <v>101</v>
      </c>
      <c r="F202" s="30" t="s">
        <v>15</v>
      </c>
      <c r="G202" s="30"/>
      <c r="H202" s="30" t="s">
        <v>140</v>
      </c>
      <c r="I202" s="30"/>
      <c r="J202" s="30"/>
      <c r="K202" s="30"/>
      <c r="L202" s="30"/>
      <c r="M202" s="30"/>
      <c r="N202" s="36">
        <f>50000+35100+375600</f>
        <v>460700</v>
      </c>
      <c r="O202" s="37"/>
      <c r="P202" s="37"/>
      <c r="Q202" s="37"/>
      <c r="R202" s="37"/>
      <c r="S202" s="37"/>
      <c r="T202" s="37"/>
      <c r="U202" s="36">
        <v>0</v>
      </c>
      <c r="V202" s="36">
        <v>0</v>
      </c>
      <c r="W202" s="2"/>
    </row>
    <row r="203" spans="1:23" ht="29.25" customHeight="1" outlineLevel="5">
      <c r="A203" s="29" t="s">
        <v>299</v>
      </c>
      <c r="B203" s="30" t="s">
        <v>28</v>
      </c>
      <c r="C203" s="30" t="s">
        <v>47</v>
      </c>
      <c r="D203" s="30" t="s">
        <v>30</v>
      </c>
      <c r="E203" s="33" t="s">
        <v>300</v>
      </c>
      <c r="F203" s="33" t="s">
        <v>6</v>
      </c>
      <c r="G203" s="30"/>
      <c r="H203" s="30"/>
      <c r="I203" s="30"/>
      <c r="J203" s="30"/>
      <c r="K203" s="30"/>
      <c r="L203" s="30"/>
      <c r="M203" s="30"/>
      <c r="N203" s="36">
        <f>N204</f>
        <v>80000</v>
      </c>
      <c r="O203" s="36">
        <f t="shared" ref="O203:V203" si="81">O204</f>
        <v>0</v>
      </c>
      <c r="P203" s="36">
        <f t="shared" si="81"/>
        <v>0</v>
      </c>
      <c r="Q203" s="36">
        <f t="shared" si="81"/>
        <v>0</v>
      </c>
      <c r="R203" s="36">
        <f t="shared" si="81"/>
        <v>0</v>
      </c>
      <c r="S203" s="36">
        <f t="shared" si="81"/>
        <v>0</v>
      </c>
      <c r="T203" s="36">
        <f t="shared" si="81"/>
        <v>0</v>
      </c>
      <c r="U203" s="36">
        <f t="shared" si="81"/>
        <v>0</v>
      </c>
      <c r="V203" s="36">
        <f t="shared" si="81"/>
        <v>0</v>
      </c>
      <c r="W203" s="2"/>
    </row>
    <row r="204" spans="1:23" ht="32.25" customHeight="1" outlineLevel="5">
      <c r="A204" s="29" t="s">
        <v>239</v>
      </c>
      <c r="B204" s="30" t="s">
        <v>28</v>
      </c>
      <c r="C204" s="30" t="s">
        <v>47</v>
      </c>
      <c r="D204" s="30" t="s">
        <v>30</v>
      </c>
      <c r="E204" s="33" t="s">
        <v>300</v>
      </c>
      <c r="F204" s="30" t="s">
        <v>15</v>
      </c>
      <c r="G204" s="30"/>
      <c r="H204" s="30"/>
      <c r="I204" s="30"/>
      <c r="J204" s="30"/>
      <c r="K204" s="30"/>
      <c r="L204" s="30"/>
      <c r="M204" s="30"/>
      <c r="N204" s="36">
        <f>N205</f>
        <v>80000</v>
      </c>
      <c r="O204" s="36">
        <f t="shared" ref="O204:V204" si="82">O205</f>
        <v>0</v>
      </c>
      <c r="P204" s="36">
        <f t="shared" si="82"/>
        <v>0</v>
      </c>
      <c r="Q204" s="36">
        <f t="shared" si="82"/>
        <v>0</v>
      </c>
      <c r="R204" s="36">
        <f t="shared" si="82"/>
        <v>0</v>
      </c>
      <c r="S204" s="36">
        <f t="shared" si="82"/>
        <v>0</v>
      </c>
      <c r="T204" s="36">
        <f t="shared" si="82"/>
        <v>0</v>
      </c>
      <c r="U204" s="36">
        <f t="shared" si="82"/>
        <v>0</v>
      </c>
      <c r="V204" s="36">
        <f t="shared" si="82"/>
        <v>0</v>
      </c>
      <c r="W204" s="2"/>
    </row>
    <row r="205" spans="1:23" ht="18.75" customHeight="1" outlineLevel="5">
      <c r="A205" s="29" t="s">
        <v>146</v>
      </c>
      <c r="B205" s="30" t="s">
        <v>28</v>
      </c>
      <c r="C205" s="30" t="s">
        <v>47</v>
      </c>
      <c r="D205" s="30" t="s">
        <v>30</v>
      </c>
      <c r="E205" s="33" t="s">
        <v>300</v>
      </c>
      <c r="F205" s="30" t="s">
        <v>15</v>
      </c>
      <c r="G205" s="30"/>
      <c r="H205" s="30" t="s">
        <v>140</v>
      </c>
      <c r="I205" s="30"/>
      <c r="J205" s="30"/>
      <c r="K205" s="30"/>
      <c r="L205" s="30"/>
      <c r="M205" s="30"/>
      <c r="N205" s="36">
        <f>80000</f>
        <v>80000</v>
      </c>
      <c r="O205" s="37"/>
      <c r="P205" s="37"/>
      <c r="Q205" s="37"/>
      <c r="R205" s="37"/>
      <c r="S205" s="37"/>
      <c r="T205" s="37"/>
      <c r="U205" s="36">
        <v>0</v>
      </c>
      <c r="V205" s="36">
        <v>0</v>
      </c>
      <c r="W205" s="2"/>
    </row>
    <row r="206" spans="1:23" ht="30" outlineLevel="3">
      <c r="A206" s="29" t="s">
        <v>102</v>
      </c>
      <c r="B206" s="30" t="s">
        <v>28</v>
      </c>
      <c r="C206" s="30" t="s">
        <v>47</v>
      </c>
      <c r="D206" s="30" t="s">
        <v>30</v>
      </c>
      <c r="E206" s="30" t="s">
        <v>103</v>
      </c>
      <c r="F206" s="30" t="s">
        <v>6</v>
      </c>
      <c r="G206" s="30" t="s">
        <v>6</v>
      </c>
      <c r="H206" s="30"/>
      <c r="I206" s="30"/>
      <c r="J206" s="30"/>
      <c r="K206" s="30"/>
      <c r="L206" s="30"/>
      <c r="M206" s="30"/>
      <c r="N206" s="36">
        <f>N207</f>
        <v>60000</v>
      </c>
      <c r="O206" s="36">
        <f t="shared" ref="O206:V206" si="83">O207</f>
        <v>0</v>
      </c>
      <c r="P206" s="36">
        <f t="shared" si="83"/>
        <v>0</v>
      </c>
      <c r="Q206" s="36">
        <f t="shared" si="83"/>
        <v>0</v>
      </c>
      <c r="R206" s="36">
        <f t="shared" si="83"/>
        <v>0</v>
      </c>
      <c r="S206" s="36">
        <f t="shared" si="83"/>
        <v>0</v>
      </c>
      <c r="T206" s="36">
        <f t="shared" si="83"/>
        <v>0</v>
      </c>
      <c r="U206" s="36">
        <f t="shared" si="83"/>
        <v>60000</v>
      </c>
      <c r="V206" s="36">
        <f t="shared" si="83"/>
        <v>60000</v>
      </c>
      <c r="W206" s="2"/>
    </row>
    <row r="207" spans="1:23" ht="31.5" customHeight="1" outlineLevel="5">
      <c r="A207" s="29" t="s">
        <v>14</v>
      </c>
      <c r="B207" s="30" t="s">
        <v>28</v>
      </c>
      <c r="C207" s="30" t="s">
        <v>47</v>
      </c>
      <c r="D207" s="30" t="s">
        <v>30</v>
      </c>
      <c r="E207" s="30" t="s">
        <v>103</v>
      </c>
      <c r="F207" s="30" t="s">
        <v>15</v>
      </c>
      <c r="G207" s="30" t="s">
        <v>6</v>
      </c>
      <c r="H207" s="30"/>
      <c r="I207" s="30"/>
      <c r="J207" s="30"/>
      <c r="K207" s="30"/>
      <c r="L207" s="30"/>
      <c r="M207" s="30"/>
      <c r="N207" s="36">
        <f>N208</f>
        <v>60000</v>
      </c>
      <c r="O207" s="36">
        <f t="shared" ref="O207:V207" si="84">O208</f>
        <v>0</v>
      </c>
      <c r="P207" s="36">
        <f t="shared" si="84"/>
        <v>0</v>
      </c>
      <c r="Q207" s="36">
        <f t="shared" si="84"/>
        <v>0</v>
      </c>
      <c r="R207" s="36">
        <f t="shared" si="84"/>
        <v>0</v>
      </c>
      <c r="S207" s="36">
        <f t="shared" si="84"/>
        <v>0</v>
      </c>
      <c r="T207" s="36">
        <f t="shared" si="84"/>
        <v>0</v>
      </c>
      <c r="U207" s="36">
        <f t="shared" si="84"/>
        <v>60000</v>
      </c>
      <c r="V207" s="36">
        <f t="shared" si="84"/>
        <v>60000</v>
      </c>
      <c r="W207" s="2"/>
    </row>
    <row r="208" spans="1:23" outlineLevel="5">
      <c r="A208" s="29" t="s">
        <v>145</v>
      </c>
      <c r="B208" s="30" t="s">
        <v>28</v>
      </c>
      <c r="C208" s="30" t="s">
        <v>47</v>
      </c>
      <c r="D208" s="30" t="s">
        <v>30</v>
      </c>
      <c r="E208" s="30" t="s">
        <v>103</v>
      </c>
      <c r="F208" s="30" t="s">
        <v>15</v>
      </c>
      <c r="G208" s="30"/>
      <c r="H208" s="30" t="s">
        <v>139</v>
      </c>
      <c r="I208" s="30"/>
      <c r="J208" s="30"/>
      <c r="K208" s="30"/>
      <c r="L208" s="30"/>
      <c r="M208" s="30"/>
      <c r="N208" s="36">
        <f>20000+20000+20000</f>
        <v>60000</v>
      </c>
      <c r="O208" s="37"/>
      <c r="P208" s="37"/>
      <c r="Q208" s="37"/>
      <c r="R208" s="37"/>
      <c r="S208" s="37"/>
      <c r="T208" s="37"/>
      <c r="U208" s="36">
        <v>60000</v>
      </c>
      <c r="V208" s="36">
        <v>60000</v>
      </c>
      <c r="W208" s="2"/>
    </row>
    <row r="209" spans="1:23" ht="16.5" customHeight="1" outlineLevel="2">
      <c r="A209" s="29" t="s">
        <v>104</v>
      </c>
      <c r="B209" s="30" t="s">
        <v>28</v>
      </c>
      <c r="C209" s="30" t="s">
        <v>47</v>
      </c>
      <c r="D209" s="30" t="s">
        <v>10</v>
      </c>
      <c r="E209" s="30" t="s">
        <v>5</v>
      </c>
      <c r="F209" s="30" t="s">
        <v>6</v>
      </c>
      <c r="G209" s="30" t="s">
        <v>6</v>
      </c>
      <c r="H209" s="30"/>
      <c r="I209" s="30"/>
      <c r="J209" s="30"/>
      <c r="K209" s="30"/>
      <c r="L209" s="30"/>
      <c r="M209" s="30"/>
      <c r="N209" s="36">
        <f>N210+N217+N230+N227+N224+N233</f>
        <v>62470302.630000003</v>
      </c>
      <c r="O209" s="36">
        <f t="shared" ref="O209:V209" si="85">O210+O217+O230+O227+O224+O233</f>
        <v>0</v>
      </c>
      <c r="P209" s="36">
        <f t="shared" si="85"/>
        <v>0</v>
      </c>
      <c r="Q209" s="36">
        <f t="shared" si="85"/>
        <v>0</v>
      </c>
      <c r="R209" s="36">
        <f t="shared" si="85"/>
        <v>0</v>
      </c>
      <c r="S209" s="36">
        <f t="shared" si="85"/>
        <v>0</v>
      </c>
      <c r="T209" s="36">
        <f t="shared" si="85"/>
        <v>0</v>
      </c>
      <c r="U209" s="36">
        <f t="shared" si="85"/>
        <v>19518960.439999998</v>
      </c>
      <c r="V209" s="36">
        <f t="shared" si="85"/>
        <v>17818960.439999998</v>
      </c>
      <c r="W209" s="2"/>
    </row>
    <row r="210" spans="1:23" ht="30" outlineLevel="3">
      <c r="A210" s="29" t="s">
        <v>105</v>
      </c>
      <c r="B210" s="30" t="s">
        <v>28</v>
      </c>
      <c r="C210" s="30" t="s">
        <v>47</v>
      </c>
      <c r="D210" s="30" t="s">
        <v>10</v>
      </c>
      <c r="E210" s="30" t="s">
        <v>106</v>
      </c>
      <c r="F210" s="30" t="s">
        <v>6</v>
      </c>
      <c r="G210" s="30" t="s">
        <v>6</v>
      </c>
      <c r="H210" s="30"/>
      <c r="I210" s="30"/>
      <c r="J210" s="30"/>
      <c r="K210" s="30"/>
      <c r="L210" s="30"/>
      <c r="M210" s="30"/>
      <c r="N210" s="36">
        <f>N211+N216</f>
        <v>9725454.2400000002</v>
      </c>
      <c r="O210" s="36">
        <f t="shared" ref="O210:V210" si="86">O211</f>
        <v>0</v>
      </c>
      <c r="P210" s="36">
        <f t="shared" si="86"/>
        <v>0</v>
      </c>
      <c r="Q210" s="36">
        <f t="shared" si="86"/>
        <v>0</v>
      </c>
      <c r="R210" s="36">
        <f t="shared" si="86"/>
        <v>0</v>
      </c>
      <c r="S210" s="36">
        <f t="shared" si="86"/>
        <v>0</v>
      </c>
      <c r="T210" s="36">
        <f t="shared" si="86"/>
        <v>0</v>
      </c>
      <c r="U210" s="36">
        <f t="shared" si="86"/>
        <v>8977176</v>
      </c>
      <c r="V210" s="36">
        <f t="shared" si="86"/>
        <v>8977176</v>
      </c>
      <c r="W210" s="2"/>
    </row>
    <row r="211" spans="1:23" ht="31.5" customHeight="1" outlineLevel="5">
      <c r="A211" s="29" t="s">
        <v>14</v>
      </c>
      <c r="B211" s="30" t="s">
        <v>28</v>
      </c>
      <c r="C211" s="30" t="s">
        <v>47</v>
      </c>
      <c r="D211" s="30" t="s">
        <v>10</v>
      </c>
      <c r="E211" s="30" t="s">
        <v>106</v>
      </c>
      <c r="F211" s="30" t="s">
        <v>15</v>
      </c>
      <c r="G211" s="30" t="s">
        <v>6</v>
      </c>
      <c r="H211" s="30"/>
      <c r="I211" s="30"/>
      <c r="J211" s="30"/>
      <c r="K211" s="30"/>
      <c r="L211" s="30"/>
      <c r="M211" s="30"/>
      <c r="N211" s="36">
        <f>N212+N213+N214+N215</f>
        <v>9681611</v>
      </c>
      <c r="O211" s="36">
        <f t="shared" ref="O211:V211" si="87">O212+O213+O214+O215</f>
        <v>0</v>
      </c>
      <c r="P211" s="36">
        <f t="shared" si="87"/>
        <v>0</v>
      </c>
      <c r="Q211" s="36">
        <f t="shared" si="87"/>
        <v>0</v>
      </c>
      <c r="R211" s="36">
        <f t="shared" si="87"/>
        <v>0</v>
      </c>
      <c r="S211" s="36">
        <f t="shared" si="87"/>
        <v>0</v>
      </c>
      <c r="T211" s="36">
        <f t="shared" si="87"/>
        <v>0</v>
      </c>
      <c r="U211" s="36">
        <f t="shared" si="87"/>
        <v>8977176</v>
      </c>
      <c r="V211" s="36">
        <f t="shared" si="87"/>
        <v>8977176</v>
      </c>
      <c r="W211" s="2"/>
    </row>
    <row r="212" spans="1:23" ht="18" customHeight="1" outlineLevel="5">
      <c r="A212" s="29" t="s">
        <v>152</v>
      </c>
      <c r="B212" s="30" t="s">
        <v>28</v>
      </c>
      <c r="C212" s="30" t="s">
        <v>47</v>
      </c>
      <c r="D212" s="30" t="s">
        <v>10</v>
      </c>
      <c r="E212" s="30" t="s">
        <v>106</v>
      </c>
      <c r="F212" s="30" t="s">
        <v>15</v>
      </c>
      <c r="G212" s="30"/>
      <c r="H212" s="30" t="s">
        <v>151</v>
      </c>
      <c r="I212" s="30"/>
      <c r="J212" s="30"/>
      <c r="K212" s="30"/>
      <c r="L212" s="30"/>
      <c r="M212" s="30"/>
      <c r="N212" s="36">
        <v>5524508</v>
      </c>
      <c r="O212" s="37"/>
      <c r="P212" s="37"/>
      <c r="Q212" s="37"/>
      <c r="R212" s="37"/>
      <c r="S212" s="37"/>
      <c r="T212" s="37"/>
      <c r="U212" s="36">
        <v>5524508</v>
      </c>
      <c r="V212" s="36">
        <v>5524508</v>
      </c>
      <c r="W212" s="2"/>
    </row>
    <row r="213" spans="1:23" ht="18" customHeight="1" outlineLevel="5">
      <c r="A213" s="29" t="s">
        <v>145</v>
      </c>
      <c r="B213" s="30" t="s">
        <v>28</v>
      </c>
      <c r="C213" s="30" t="s">
        <v>47</v>
      </c>
      <c r="D213" s="30" t="s">
        <v>10</v>
      </c>
      <c r="E213" s="30" t="s">
        <v>106</v>
      </c>
      <c r="F213" s="30" t="s">
        <v>15</v>
      </c>
      <c r="G213" s="30"/>
      <c r="H213" s="30" t="s">
        <v>139</v>
      </c>
      <c r="I213" s="30"/>
      <c r="J213" s="30"/>
      <c r="K213" s="30"/>
      <c r="L213" s="30"/>
      <c r="M213" s="30"/>
      <c r="N213" s="36">
        <f>2675140+118670</f>
        <v>2793810</v>
      </c>
      <c r="O213" s="37"/>
      <c r="P213" s="37"/>
      <c r="Q213" s="37"/>
      <c r="R213" s="37"/>
      <c r="S213" s="37"/>
      <c r="T213" s="37"/>
      <c r="U213" s="36">
        <v>2675140</v>
      </c>
      <c r="V213" s="36">
        <v>2675140</v>
      </c>
      <c r="W213" s="2"/>
    </row>
    <row r="214" spans="1:23" ht="18" customHeight="1" outlineLevel="5">
      <c r="A214" s="29" t="s">
        <v>153</v>
      </c>
      <c r="B214" s="30" t="s">
        <v>28</v>
      </c>
      <c r="C214" s="30" t="s">
        <v>47</v>
      </c>
      <c r="D214" s="30" t="s">
        <v>10</v>
      </c>
      <c r="E214" s="30" t="s">
        <v>106</v>
      </c>
      <c r="F214" s="30" t="s">
        <v>15</v>
      </c>
      <c r="G214" s="30"/>
      <c r="H214" s="30" t="s">
        <v>140</v>
      </c>
      <c r="I214" s="30"/>
      <c r="J214" s="30"/>
      <c r="K214" s="30"/>
      <c r="L214" s="30"/>
      <c r="M214" s="30"/>
      <c r="N214" s="36">
        <f>776028-118670+400000+304435</f>
        <v>1361793</v>
      </c>
      <c r="O214" s="37"/>
      <c r="P214" s="37"/>
      <c r="Q214" s="37"/>
      <c r="R214" s="37"/>
      <c r="S214" s="37"/>
      <c r="T214" s="37"/>
      <c r="U214" s="36">
        <v>776028</v>
      </c>
      <c r="V214" s="36">
        <v>776028</v>
      </c>
      <c r="W214" s="2"/>
    </row>
    <row r="215" spans="1:23" ht="18" customHeight="1" outlineLevel="5">
      <c r="A215" s="29" t="s">
        <v>199</v>
      </c>
      <c r="B215" s="30" t="s">
        <v>28</v>
      </c>
      <c r="C215" s="30" t="s">
        <v>47</v>
      </c>
      <c r="D215" s="30" t="s">
        <v>10</v>
      </c>
      <c r="E215" s="30" t="s">
        <v>106</v>
      </c>
      <c r="F215" s="30" t="s">
        <v>15</v>
      </c>
      <c r="G215" s="30"/>
      <c r="H215" s="30" t="s">
        <v>143</v>
      </c>
      <c r="I215" s="30"/>
      <c r="J215" s="30"/>
      <c r="K215" s="30"/>
      <c r="L215" s="30"/>
      <c r="M215" s="30"/>
      <c r="N215" s="36">
        <v>1500</v>
      </c>
      <c r="O215" s="37"/>
      <c r="P215" s="37"/>
      <c r="Q215" s="37"/>
      <c r="R215" s="37"/>
      <c r="S215" s="37"/>
      <c r="T215" s="37"/>
      <c r="U215" s="36">
        <v>1500</v>
      </c>
      <c r="V215" s="36">
        <v>1500</v>
      </c>
      <c r="W215" s="2"/>
    </row>
    <row r="216" spans="1:23" ht="18" customHeight="1" outlineLevel="5">
      <c r="A216" s="29" t="s">
        <v>308</v>
      </c>
      <c r="B216" s="30" t="s">
        <v>28</v>
      </c>
      <c r="C216" s="30" t="s">
        <v>47</v>
      </c>
      <c r="D216" s="30" t="s">
        <v>10</v>
      </c>
      <c r="E216" s="30" t="s">
        <v>106</v>
      </c>
      <c r="F216" s="30">
        <v>800</v>
      </c>
      <c r="G216" s="30"/>
      <c r="H216" s="30"/>
      <c r="I216" s="30"/>
      <c r="J216" s="30"/>
      <c r="K216" s="30"/>
      <c r="L216" s="30"/>
      <c r="M216" s="30"/>
      <c r="N216" s="36">
        <v>43843.24</v>
      </c>
      <c r="O216" s="37"/>
      <c r="P216" s="37"/>
      <c r="Q216" s="37"/>
      <c r="R216" s="37"/>
      <c r="S216" s="37"/>
      <c r="T216" s="37"/>
      <c r="U216" s="36">
        <v>0</v>
      </c>
      <c r="V216" s="36">
        <v>0</v>
      </c>
      <c r="W216" s="2"/>
    </row>
    <row r="217" spans="1:23" ht="30" outlineLevel="3">
      <c r="A217" s="29" t="s">
        <v>107</v>
      </c>
      <c r="B217" s="30" t="s">
        <v>28</v>
      </c>
      <c r="C217" s="30" t="s">
        <v>47</v>
      </c>
      <c r="D217" s="30" t="s">
        <v>10</v>
      </c>
      <c r="E217" s="30" t="s">
        <v>108</v>
      </c>
      <c r="F217" s="30" t="s">
        <v>6</v>
      </c>
      <c r="G217" s="30" t="s">
        <v>6</v>
      </c>
      <c r="H217" s="30"/>
      <c r="I217" s="30"/>
      <c r="J217" s="30"/>
      <c r="K217" s="30"/>
      <c r="L217" s="30"/>
      <c r="M217" s="30"/>
      <c r="N217" s="36">
        <f>N218</f>
        <v>16582131.84</v>
      </c>
      <c r="O217" s="36">
        <f t="shared" ref="O217:V217" si="88">O218</f>
        <v>0</v>
      </c>
      <c r="P217" s="36">
        <f t="shared" si="88"/>
        <v>0</v>
      </c>
      <c r="Q217" s="36">
        <f t="shared" si="88"/>
        <v>0</v>
      </c>
      <c r="R217" s="36">
        <f t="shared" si="88"/>
        <v>0</v>
      </c>
      <c r="S217" s="36">
        <f t="shared" si="88"/>
        <v>0</v>
      </c>
      <c r="T217" s="36">
        <f t="shared" si="88"/>
        <v>0</v>
      </c>
      <c r="U217" s="36">
        <f t="shared" si="88"/>
        <v>10541784.439999999</v>
      </c>
      <c r="V217" s="36">
        <f t="shared" si="88"/>
        <v>8841784.4399999995</v>
      </c>
      <c r="W217" s="2"/>
    </row>
    <row r="218" spans="1:23" ht="31.5" customHeight="1" outlineLevel="5">
      <c r="A218" s="29" t="s">
        <v>14</v>
      </c>
      <c r="B218" s="30" t="s">
        <v>28</v>
      </c>
      <c r="C218" s="30" t="s">
        <v>47</v>
      </c>
      <c r="D218" s="30" t="s">
        <v>10</v>
      </c>
      <c r="E218" s="30" t="s">
        <v>108</v>
      </c>
      <c r="F218" s="30" t="s">
        <v>15</v>
      </c>
      <c r="G218" s="30" t="s">
        <v>6</v>
      </c>
      <c r="H218" s="30"/>
      <c r="I218" s="30"/>
      <c r="J218" s="30"/>
      <c r="K218" s="30"/>
      <c r="L218" s="30"/>
      <c r="M218" s="30"/>
      <c r="N218" s="36">
        <f>N219+N220+N223+N221+N222</f>
        <v>16582131.84</v>
      </c>
      <c r="O218" s="36">
        <f t="shared" ref="O218:V218" si="89">O219+O220+O223+O221+O222</f>
        <v>0</v>
      </c>
      <c r="P218" s="36">
        <f t="shared" si="89"/>
        <v>0</v>
      </c>
      <c r="Q218" s="36">
        <f t="shared" si="89"/>
        <v>0</v>
      </c>
      <c r="R218" s="36">
        <f t="shared" si="89"/>
        <v>0</v>
      </c>
      <c r="S218" s="36">
        <f t="shared" si="89"/>
        <v>0</v>
      </c>
      <c r="T218" s="36">
        <f t="shared" si="89"/>
        <v>0</v>
      </c>
      <c r="U218" s="36">
        <f t="shared" si="89"/>
        <v>10541784.439999999</v>
      </c>
      <c r="V218" s="36">
        <f t="shared" si="89"/>
        <v>8841784.4399999995</v>
      </c>
      <c r="W218" s="2"/>
    </row>
    <row r="219" spans="1:23" ht="18.95" customHeight="1" outlineLevel="5">
      <c r="A219" s="29" t="s">
        <v>145</v>
      </c>
      <c r="B219" s="30" t="s">
        <v>28</v>
      </c>
      <c r="C219" s="30" t="s">
        <v>47</v>
      </c>
      <c r="D219" s="30" t="s">
        <v>10</v>
      </c>
      <c r="E219" s="30" t="s">
        <v>108</v>
      </c>
      <c r="F219" s="30" t="s">
        <v>15</v>
      </c>
      <c r="G219" s="30"/>
      <c r="H219" s="30" t="s">
        <v>139</v>
      </c>
      <c r="I219" s="30"/>
      <c r="J219" s="30"/>
      <c r="K219" s="30"/>
      <c r="L219" s="30"/>
      <c r="M219" s="30"/>
      <c r="N219" s="36">
        <f>9291742.6+174000+600000+330617+130000+140400+417159-89600</f>
        <v>10994318.6</v>
      </c>
      <c r="O219" s="37"/>
      <c r="P219" s="37"/>
      <c r="Q219" s="37"/>
      <c r="R219" s="37"/>
      <c r="S219" s="37"/>
      <c r="T219" s="37"/>
      <c r="U219" s="36">
        <f>8415420.2+1700000</f>
        <v>10115420.199999999</v>
      </c>
      <c r="V219" s="36">
        <v>8415420.1999999993</v>
      </c>
      <c r="W219" s="2"/>
    </row>
    <row r="220" spans="1:23" ht="18.95" customHeight="1" outlineLevel="5">
      <c r="A220" s="29" t="s">
        <v>153</v>
      </c>
      <c r="B220" s="30" t="s">
        <v>28</v>
      </c>
      <c r="C220" s="30" t="s">
        <v>47</v>
      </c>
      <c r="D220" s="30" t="s">
        <v>10</v>
      </c>
      <c r="E220" s="30" t="s">
        <v>108</v>
      </c>
      <c r="F220" s="30" t="s">
        <v>15</v>
      </c>
      <c r="G220" s="30"/>
      <c r="H220" s="30" t="s">
        <v>140</v>
      </c>
      <c r="I220" s="30"/>
      <c r="J220" s="30"/>
      <c r="K220" s="30"/>
      <c r="L220" s="30"/>
      <c r="M220" s="30"/>
      <c r="N220" s="36">
        <f>1105404.24+2026200+47460+242200+60000+527600+350000+16200</f>
        <v>4375064.24</v>
      </c>
      <c r="O220" s="37"/>
      <c r="P220" s="37"/>
      <c r="Q220" s="37"/>
      <c r="R220" s="37"/>
      <c r="S220" s="37"/>
      <c r="T220" s="37"/>
      <c r="U220" s="36">
        <v>415364.24</v>
      </c>
      <c r="V220" s="36">
        <v>415364.24</v>
      </c>
      <c r="W220" s="2"/>
    </row>
    <row r="221" spans="1:23" ht="18.95" customHeight="1" outlineLevel="5">
      <c r="A221" s="29" t="s">
        <v>272</v>
      </c>
      <c r="B221" s="30" t="s">
        <v>28</v>
      </c>
      <c r="C221" s="30" t="s">
        <v>47</v>
      </c>
      <c r="D221" s="30" t="s">
        <v>10</v>
      </c>
      <c r="E221" s="30" t="s">
        <v>108</v>
      </c>
      <c r="F221" s="30" t="s">
        <v>15</v>
      </c>
      <c r="G221" s="30"/>
      <c r="H221" s="30" t="s">
        <v>265</v>
      </c>
      <c r="I221" s="30"/>
      <c r="J221" s="30"/>
      <c r="K221" s="30"/>
      <c r="L221" s="30"/>
      <c r="M221" s="30"/>
      <c r="N221" s="36">
        <f>3211500-2211501</f>
        <v>999999</v>
      </c>
      <c r="O221" s="37"/>
      <c r="P221" s="37"/>
      <c r="Q221" s="37"/>
      <c r="R221" s="37"/>
      <c r="S221" s="37"/>
      <c r="T221" s="37"/>
      <c r="U221" s="36">
        <v>0</v>
      </c>
      <c r="V221" s="36">
        <v>0</v>
      </c>
      <c r="W221" s="2"/>
    </row>
    <row r="222" spans="1:23" ht="18.95" customHeight="1" outlineLevel="5">
      <c r="A222" s="29" t="s">
        <v>206</v>
      </c>
      <c r="B222" s="30" t="s">
        <v>28</v>
      </c>
      <c r="C222" s="30" t="s">
        <v>47</v>
      </c>
      <c r="D222" s="30" t="s">
        <v>10</v>
      </c>
      <c r="E222" s="30" t="s">
        <v>108</v>
      </c>
      <c r="F222" s="30" t="s">
        <v>15</v>
      </c>
      <c r="G222" s="30"/>
      <c r="H222" s="30" t="s">
        <v>191</v>
      </c>
      <c r="I222" s="30"/>
      <c r="J222" s="30"/>
      <c r="K222" s="30"/>
      <c r="L222" s="30"/>
      <c r="M222" s="30"/>
      <c r="N222" s="36">
        <f>114350+72600</f>
        <v>186950</v>
      </c>
      <c r="O222" s="37"/>
      <c r="P222" s="37"/>
      <c r="Q222" s="37"/>
      <c r="R222" s="37"/>
      <c r="S222" s="37"/>
      <c r="T222" s="37"/>
      <c r="U222" s="36">
        <v>0</v>
      </c>
      <c r="V222" s="36">
        <v>0</v>
      </c>
      <c r="W222" s="2"/>
    </row>
    <row r="223" spans="1:23" ht="18.95" customHeight="1" outlineLevel="5">
      <c r="A223" s="29" t="s">
        <v>199</v>
      </c>
      <c r="B223" s="30" t="s">
        <v>28</v>
      </c>
      <c r="C223" s="30" t="s">
        <v>47</v>
      </c>
      <c r="D223" s="30" t="s">
        <v>10</v>
      </c>
      <c r="E223" s="30" t="s">
        <v>108</v>
      </c>
      <c r="F223" s="30" t="s">
        <v>15</v>
      </c>
      <c r="G223" s="30"/>
      <c r="H223" s="30" t="s">
        <v>143</v>
      </c>
      <c r="I223" s="30"/>
      <c r="J223" s="30"/>
      <c r="K223" s="30"/>
      <c r="L223" s="30"/>
      <c r="M223" s="30"/>
      <c r="N223" s="36">
        <f>11000+6000+8000+800</f>
        <v>25800</v>
      </c>
      <c r="O223" s="37"/>
      <c r="P223" s="37"/>
      <c r="Q223" s="37"/>
      <c r="R223" s="37"/>
      <c r="S223" s="37"/>
      <c r="T223" s="37"/>
      <c r="U223" s="36">
        <v>11000</v>
      </c>
      <c r="V223" s="36">
        <v>11000</v>
      </c>
      <c r="W223" s="2"/>
    </row>
    <row r="224" spans="1:23" ht="78" customHeight="1" outlineLevel="5">
      <c r="A224" s="29" t="s">
        <v>266</v>
      </c>
      <c r="B224" s="30" t="s">
        <v>28</v>
      </c>
      <c r="C224" s="30" t="s">
        <v>47</v>
      </c>
      <c r="D224" s="30" t="s">
        <v>10</v>
      </c>
      <c r="E224" s="33" t="s">
        <v>267</v>
      </c>
      <c r="F224" s="33" t="s">
        <v>6</v>
      </c>
      <c r="G224" s="30"/>
      <c r="H224" s="30"/>
      <c r="I224" s="30"/>
      <c r="J224" s="30"/>
      <c r="K224" s="30"/>
      <c r="L224" s="30"/>
      <c r="M224" s="30"/>
      <c r="N224" s="36">
        <f>N225</f>
        <v>262154.40000000002</v>
      </c>
      <c r="O224" s="36">
        <f t="shared" ref="O224:V224" si="90">O225</f>
        <v>0</v>
      </c>
      <c r="P224" s="36">
        <f t="shared" si="90"/>
        <v>0</v>
      </c>
      <c r="Q224" s="36">
        <f t="shared" si="90"/>
        <v>0</v>
      </c>
      <c r="R224" s="36">
        <f t="shared" si="90"/>
        <v>0</v>
      </c>
      <c r="S224" s="36">
        <f t="shared" si="90"/>
        <v>0</v>
      </c>
      <c r="T224" s="36">
        <f t="shared" si="90"/>
        <v>0</v>
      </c>
      <c r="U224" s="36">
        <f t="shared" si="90"/>
        <v>0</v>
      </c>
      <c r="V224" s="36">
        <f t="shared" si="90"/>
        <v>0</v>
      </c>
      <c r="W224" s="2"/>
    </row>
    <row r="225" spans="1:23" ht="18.95" customHeight="1" outlineLevel="5">
      <c r="A225" s="29" t="s">
        <v>201</v>
      </c>
      <c r="B225" s="30" t="s">
        <v>28</v>
      </c>
      <c r="C225" s="30" t="s">
        <v>47</v>
      </c>
      <c r="D225" s="30" t="s">
        <v>10</v>
      </c>
      <c r="E225" s="33" t="s">
        <v>267</v>
      </c>
      <c r="F225" s="30" t="s">
        <v>15</v>
      </c>
      <c r="G225" s="30"/>
      <c r="H225" s="30"/>
      <c r="I225" s="30"/>
      <c r="J225" s="30"/>
      <c r="K225" s="30"/>
      <c r="L225" s="30"/>
      <c r="M225" s="30"/>
      <c r="N225" s="36">
        <f>N226</f>
        <v>262154.40000000002</v>
      </c>
      <c r="O225" s="36">
        <f t="shared" ref="O225:V225" si="91">O226</f>
        <v>0</v>
      </c>
      <c r="P225" s="36">
        <f t="shared" si="91"/>
        <v>0</v>
      </c>
      <c r="Q225" s="36">
        <f t="shared" si="91"/>
        <v>0</v>
      </c>
      <c r="R225" s="36">
        <f t="shared" si="91"/>
        <v>0</v>
      </c>
      <c r="S225" s="36">
        <f t="shared" si="91"/>
        <v>0</v>
      </c>
      <c r="T225" s="36">
        <f t="shared" si="91"/>
        <v>0</v>
      </c>
      <c r="U225" s="36">
        <f t="shared" si="91"/>
        <v>0</v>
      </c>
      <c r="V225" s="36">
        <f t="shared" si="91"/>
        <v>0</v>
      </c>
      <c r="W225" s="2"/>
    </row>
    <row r="226" spans="1:23" ht="18.95" customHeight="1" outlineLevel="5">
      <c r="A226" s="29" t="s">
        <v>206</v>
      </c>
      <c r="B226" s="30" t="s">
        <v>28</v>
      </c>
      <c r="C226" s="30" t="s">
        <v>47</v>
      </c>
      <c r="D226" s="30" t="s">
        <v>10</v>
      </c>
      <c r="E226" s="33" t="s">
        <v>267</v>
      </c>
      <c r="F226" s="30" t="s">
        <v>15</v>
      </c>
      <c r="G226" s="30"/>
      <c r="H226" s="30" t="s">
        <v>191</v>
      </c>
      <c r="I226" s="30"/>
      <c r="J226" s="30"/>
      <c r="K226" s="30"/>
      <c r="L226" s="30"/>
      <c r="M226" s="30"/>
      <c r="N226" s="36">
        <v>262154.40000000002</v>
      </c>
      <c r="O226" s="37"/>
      <c r="P226" s="37"/>
      <c r="Q226" s="37"/>
      <c r="R226" s="37"/>
      <c r="S226" s="37"/>
      <c r="T226" s="37"/>
      <c r="U226" s="36">
        <v>0</v>
      </c>
      <c r="V226" s="36">
        <v>0</v>
      </c>
      <c r="W226" s="2"/>
    </row>
    <row r="227" spans="1:23" ht="20.25" customHeight="1" outlineLevel="5">
      <c r="A227" s="48" t="s">
        <v>282</v>
      </c>
      <c r="B227" s="30" t="s">
        <v>28</v>
      </c>
      <c r="C227" s="30" t="s">
        <v>47</v>
      </c>
      <c r="D227" s="30" t="s">
        <v>10</v>
      </c>
      <c r="E227" s="33" t="s">
        <v>259</v>
      </c>
      <c r="F227" s="33" t="s">
        <v>6</v>
      </c>
      <c r="G227" s="30"/>
      <c r="H227" s="30"/>
      <c r="I227" s="30"/>
      <c r="J227" s="30"/>
      <c r="K227" s="30"/>
      <c r="L227" s="30"/>
      <c r="M227" s="30"/>
      <c r="N227" s="36">
        <f>N228</f>
        <v>0</v>
      </c>
      <c r="O227" s="36">
        <f t="shared" ref="O227:V227" si="92">O228</f>
        <v>0</v>
      </c>
      <c r="P227" s="36">
        <f t="shared" si="92"/>
        <v>0</v>
      </c>
      <c r="Q227" s="36">
        <f t="shared" si="92"/>
        <v>0</v>
      </c>
      <c r="R227" s="36">
        <f t="shared" si="92"/>
        <v>0</v>
      </c>
      <c r="S227" s="36">
        <f t="shared" si="92"/>
        <v>0</v>
      </c>
      <c r="T227" s="36">
        <f t="shared" si="92"/>
        <v>0</v>
      </c>
      <c r="U227" s="36">
        <f t="shared" si="92"/>
        <v>0</v>
      </c>
      <c r="V227" s="36">
        <f t="shared" si="92"/>
        <v>0</v>
      </c>
      <c r="W227" s="2"/>
    </row>
    <row r="228" spans="1:23" ht="30.75" customHeight="1" outlineLevel="5">
      <c r="A228" s="29" t="s">
        <v>201</v>
      </c>
      <c r="B228" s="30" t="s">
        <v>28</v>
      </c>
      <c r="C228" s="30" t="s">
        <v>47</v>
      </c>
      <c r="D228" s="30" t="s">
        <v>10</v>
      </c>
      <c r="E228" s="33" t="s">
        <v>259</v>
      </c>
      <c r="F228" s="30" t="s">
        <v>15</v>
      </c>
      <c r="G228" s="30"/>
      <c r="H228" s="30"/>
      <c r="I228" s="30"/>
      <c r="J228" s="30"/>
      <c r="K228" s="30"/>
      <c r="L228" s="30"/>
      <c r="M228" s="30"/>
      <c r="N228" s="36">
        <f>N229</f>
        <v>0</v>
      </c>
      <c r="O228" s="36">
        <f t="shared" ref="O228:V228" si="93">O229</f>
        <v>0</v>
      </c>
      <c r="P228" s="36">
        <f t="shared" si="93"/>
        <v>0</v>
      </c>
      <c r="Q228" s="36">
        <f t="shared" si="93"/>
        <v>0</v>
      </c>
      <c r="R228" s="36">
        <f t="shared" si="93"/>
        <v>0</v>
      </c>
      <c r="S228" s="36">
        <f t="shared" si="93"/>
        <v>0</v>
      </c>
      <c r="T228" s="36">
        <f t="shared" si="93"/>
        <v>0</v>
      </c>
      <c r="U228" s="36">
        <f t="shared" si="93"/>
        <v>0</v>
      </c>
      <c r="V228" s="36">
        <f t="shared" si="93"/>
        <v>0</v>
      </c>
      <c r="W228" s="2"/>
    </row>
    <row r="229" spans="1:23" ht="17.25" customHeight="1" outlineLevel="5">
      <c r="A229" s="29" t="s">
        <v>206</v>
      </c>
      <c r="B229" s="30" t="s">
        <v>28</v>
      </c>
      <c r="C229" s="30" t="s">
        <v>47</v>
      </c>
      <c r="D229" s="30" t="s">
        <v>10</v>
      </c>
      <c r="E229" s="33" t="s">
        <v>259</v>
      </c>
      <c r="F229" s="30" t="s">
        <v>15</v>
      </c>
      <c r="G229" s="30"/>
      <c r="H229" s="30" t="s">
        <v>191</v>
      </c>
      <c r="I229" s="30"/>
      <c r="J229" s="30"/>
      <c r="K229" s="30"/>
      <c r="L229" s="30"/>
      <c r="M229" s="30"/>
      <c r="N229" s="36">
        <f>526315.79-526315.79</f>
        <v>0</v>
      </c>
      <c r="O229" s="37"/>
      <c r="P229" s="37"/>
      <c r="Q229" s="37"/>
      <c r="R229" s="37"/>
      <c r="S229" s="37"/>
      <c r="T229" s="37"/>
      <c r="U229" s="36">
        <v>0</v>
      </c>
      <c r="V229" s="36">
        <v>0</v>
      </c>
      <c r="W229" s="2"/>
    </row>
    <row r="230" spans="1:23" ht="30" outlineLevel="5">
      <c r="A230" s="47" t="s">
        <v>207</v>
      </c>
      <c r="B230" s="30" t="s">
        <v>28</v>
      </c>
      <c r="C230" s="30" t="s">
        <v>47</v>
      </c>
      <c r="D230" s="30" t="s">
        <v>10</v>
      </c>
      <c r="E230" s="30" t="s">
        <v>190</v>
      </c>
      <c r="F230" s="33" t="s">
        <v>6</v>
      </c>
      <c r="G230" s="30"/>
      <c r="H230" s="56" t="s">
        <v>263</v>
      </c>
      <c r="I230" s="30"/>
      <c r="J230" s="30"/>
      <c r="K230" s="30"/>
      <c r="L230" s="30"/>
      <c r="M230" s="30"/>
      <c r="N230" s="36">
        <f>N231</f>
        <v>35018421.060000002</v>
      </c>
      <c r="O230" s="36">
        <f t="shared" ref="O230:V230" si="94">O231</f>
        <v>0</v>
      </c>
      <c r="P230" s="36">
        <f t="shared" si="94"/>
        <v>0</v>
      </c>
      <c r="Q230" s="36">
        <f t="shared" si="94"/>
        <v>0</v>
      </c>
      <c r="R230" s="36">
        <f t="shared" si="94"/>
        <v>0</v>
      </c>
      <c r="S230" s="36">
        <f t="shared" si="94"/>
        <v>0</v>
      </c>
      <c r="T230" s="36">
        <f t="shared" si="94"/>
        <v>0</v>
      </c>
      <c r="U230" s="36">
        <f t="shared" si="94"/>
        <v>0</v>
      </c>
      <c r="V230" s="36">
        <f t="shared" si="94"/>
        <v>0</v>
      </c>
      <c r="W230" s="2"/>
    </row>
    <row r="231" spans="1:23" ht="30" outlineLevel="5">
      <c r="A231" s="29" t="s">
        <v>201</v>
      </c>
      <c r="B231" s="30" t="s">
        <v>28</v>
      </c>
      <c r="C231" s="30" t="s">
        <v>47</v>
      </c>
      <c r="D231" s="30" t="s">
        <v>10</v>
      </c>
      <c r="E231" s="30" t="s">
        <v>190</v>
      </c>
      <c r="F231" s="30">
        <v>200</v>
      </c>
      <c r="G231" s="30"/>
      <c r="H231" s="30"/>
      <c r="I231" s="30"/>
      <c r="J231" s="30"/>
      <c r="K231" s="30"/>
      <c r="L231" s="30"/>
      <c r="M231" s="30"/>
      <c r="N231" s="36">
        <f>N232</f>
        <v>35018421.060000002</v>
      </c>
      <c r="O231" s="36">
        <f t="shared" ref="O231:V231" si="95">O232</f>
        <v>0</v>
      </c>
      <c r="P231" s="36">
        <f t="shared" si="95"/>
        <v>0</v>
      </c>
      <c r="Q231" s="36">
        <f t="shared" si="95"/>
        <v>0</v>
      </c>
      <c r="R231" s="36">
        <f t="shared" si="95"/>
        <v>0</v>
      </c>
      <c r="S231" s="36">
        <f t="shared" si="95"/>
        <v>0</v>
      </c>
      <c r="T231" s="36">
        <f t="shared" si="95"/>
        <v>0</v>
      </c>
      <c r="U231" s="36">
        <f t="shared" si="95"/>
        <v>0</v>
      </c>
      <c r="V231" s="36">
        <f t="shared" si="95"/>
        <v>0</v>
      </c>
      <c r="W231" s="2"/>
    </row>
    <row r="232" spans="1:23" ht="21.75" customHeight="1" outlineLevel="5">
      <c r="A232" s="29" t="s">
        <v>206</v>
      </c>
      <c r="B232" s="30" t="s">
        <v>28</v>
      </c>
      <c r="C232" s="30" t="s">
        <v>47</v>
      </c>
      <c r="D232" s="30" t="s">
        <v>10</v>
      </c>
      <c r="E232" s="30" t="s">
        <v>190</v>
      </c>
      <c r="F232" s="30">
        <v>200</v>
      </c>
      <c r="G232" s="30"/>
      <c r="H232" s="30" t="s">
        <v>191</v>
      </c>
      <c r="I232" s="30"/>
      <c r="J232" s="30"/>
      <c r="K232" s="30"/>
      <c r="L232" s="30"/>
      <c r="M232" s="30"/>
      <c r="N232" s="36">
        <v>35018421.060000002</v>
      </c>
      <c r="O232" s="37"/>
      <c r="P232" s="37"/>
      <c r="Q232" s="37"/>
      <c r="R232" s="37"/>
      <c r="S232" s="37"/>
      <c r="T232" s="37"/>
      <c r="U232" s="36">
        <v>0</v>
      </c>
      <c r="V232" s="36">
        <v>0</v>
      </c>
      <c r="W232" s="2"/>
    </row>
    <row r="233" spans="1:23" ht="80.25" customHeight="1" outlineLevel="5">
      <c r="A233" s="48" t="s">
        <v>287</v>
      </c>
      <c r="B233" s="30" t="s">
        <v>28</v>
      </c>
      <c r="C233" s="30" t="s">
        <v>47</v>
      </c>
      <c r="D233" s="30" t="s">
        <v>10</v>
      </c>
      <c r="E233" s="30" t="s">
        <v>288</v>
      </c>
      <c r="F233" s="33" t="s">
        <v>6</v>
      </c>
      <c r="G233" s="30"/>
      <c r="H233" s="56" t="s">
        <v>289</v>
      </c>
      <c r="I233" s="30"/>
      <c r="J233" s="30"/>
      <c r="K233" s="30"/>
      <c r="L233" s="30"/>
      <c r="M233" s="30"/>
      <c r="N233" s="36">
        <f>N234</f>
        <v>882141.09</v>
      </c>
      <c r="O233" s="37"/>
      <c r="P233" s="37"/>
      <c r="Q233" s="37"/>
      <c r="R233" s="37"/>
      <c r="S233" s="37"/>
      <c r="T233" s="37"/>
      <c r="U233" s="36">
        <v>0</v>
      </c>
      <c r="V233" s="36">
        <v>0</v>
      </c>
      <c r="W233" s="2"/>
    </row>
    <row r="234" spans="1:23" ht="21.75" customHeight="1" outlineLevel="5">
      <c r="A234" s="29" t="s">
        <v>201</v>
      </c>
      <c r="B234" s="30" t="s">
        <v>28</v>
      </c>
      <c r="C234" s="30" t="s">
        <v>47</v>
      </c>
      <c r="D234" s="30" t="s">
        <v>10</v>
      </c>
      <c r="E234" s="30" t="s">
        <v>288</v>
      </c>
      <c r="F234" s="30">
        <v>200</v>
      </c>
      <c r="G234" s="30"/>
      <c r="H234" s="30"/>
      <c r="I234" s="30"/>
      <c r="J234" s="30"/>
      <c r="K234" s="30"/>
      <c r="L234" s="30"/>
      <c r="M234" s="30"/>
      <c r="N234" s="36">
        <f>N235</f>
        <v>882141.09</v>
      </c>
      <c r="O234" s="37"/>
      <c r="P234" s="37"/>
      <c r="Q234" s="37"/>
      <c r="R234" s="37"/>
      <c r="S234" s="37"/>
      <c r="T234" s="37"/>
      <c r="U234" s="36">
        <v>0</v>
      </c>
      <c r="V234" s="36">
        <v>0</v>
      </c>
      <c r="W234" s="2"/>
    </row>
    <row r="235" spans="1:23" ht="21.75" customHeight="1" outlineLevel="5">
      <c r="A235" s="29" t="s">
        <v>206</v>
      </c>
      <c r="B235" s="30" t="s">
        <v>28</v>
      </c>
      <c r="C235" s="30" t="s">
        <v>47</v>
      </c>
      <c r="D235" s="30" t="s">
        <v>10</v>
      </c>
      <c r="E235" s="30" t="s">
        <v>288</v>
      </c>
      <c r="F235" s="30">
        <v>200</v>
      </c>
      <c r="G235" s="30"/>
      <c r="H235" s="30" t="s">
        <v>191</v>
      </c>
      <c r="I235" s="30"/>
      <c r="J235" s="30"/>
      <c r="K235" s="30"/>
      <c r="L235" s="30"/>
      <c r="M235" s="30"/>
      <c r="N235" s="36">
        <f>900000-17858.91</f>
        <v>882141.09</v>
      </c>
      <c r="O235" s="37"/>
      <c r="P235" s="37"/>
      <c r="Q235" s="37"/>
      <c r="R235" s="37"/>
      <c r="S235" s="37"/>
      <c r="T235" s="37"/>
      <c r="U235" s="36">
        <v>0</v>
      </c>
      <c r="V235" s="36">
        <v>0</v>
      </c>
      <c r="W235" s="2"/>
    </row>
    <row r="236" spans="1:23" ht="21.75" customHeight="1" outlineLevel="5">
      <c r="A236" s="31" t="s">
        <v>224</v>
      </c>
      <c r="B236" s="30" t="s">
        <v>28</v>
      </c>
      <c r="C236" s="30" t="s">
        <v>78</v>
      </c>
      <c r="D236" s="30" t="s">
        <v>4</v>
      </c>
      <c r="E236" s="30" t="s">
        <v>5</v>
      </c>
      <c r="F236" s="30" t="s">
        <v>6</v>
      </c>
      <c r="G236" s="30"/>
      <c r="H236" s="30"/>
      <c r="I236" s="30"/>
      <c r="J236" s="30"/>
      <c r="K236" s="30"/>
      <c r="L236" s="30"/>
      <c r="M236" s="30"/>
      <c r="N236" s="36">
        <f>N237</f>
        <v>125415396.66</v>
      </c>
      <c r="O236" s="36">
        <f t="shared" ref="O236:V236" si="96">O237</f>
        <v>0</v>
      </c>
      <c r="P236" s="36">
        <f t="shared" si="96"/>
        <v>0</v>
      </c>
      <c r="Q236" s="36">
        <f t="shared" si="96"/>
        <v>0</v>
      </c>
      <c r="R236" s="36">
        <f t="shared" si="96"/>
        <v>0</v>
      </c>
      <c r="S236" s="36">
        <f t="shared" si="96"/>
        <v>0</v>
      </c>
      <c r="T236" s="36">
        <f t="shared" si="96"/>
        <v>0</v>
      </c>
      <c r="U236" s="36">
        <f t="shared" si="96"/>
        <v>0</v>
      </c>
      <c r="V236" s="36">
        <f t="shared" si="96"/>
        <v>0</v>
      </c>
      <c r="W236" s="2"/>
    </row>
    <row r="237" spans="1:23" ht="21.75" customHeight="1" outlineLevel="5">
      <c r="A237" s="68" t="s">
        <v>223</v>
      </c>
      <c r="B237" s="30" t="s">
        <v>28</v>
      </c>
      <c r="C237" s="30" t="s">
        <v>78</v>
      </c>
      <c r="D237" s="33" t="s">
        <v>30</v>
      </c>
      <c r="E237" s="30" t="s">
        <v>5</v>
      </c>
      <c r="F237" s="30" t="s">
        <v>6</v>
      </c>
      <c r="G237" s="30"/>
      <c r="H237" s="30"/>
      <c r="I237" s="30"/>
      <c r="J237" s="30"/>
      <c r="K237" s="30"/>
      <c r="L237" s="30"/>
      <c r="M237" s="30"/>
      <c r="N237" s="36">
        <f>N240+N238+N242</f>
        <v>125415396.66</v>
      </c>
      <c r="O237" s="36">
        <f t="shared" ref="O237:V237" si="97">O240+O238</f>
        <v>0</v>
      </c>
      <c r="P237" s="36">
        <f t="shared" si="97"/>
        <v>0</v>
      </c>
      <c r="Q237" s="36">
        <f t="shared" si="97"/>
        <v>0</v>
      </c>
      <c r="R237" s="36">
        <f t="shared" si="97"/>
        <v>0</v>
      </c>
      <c r="S237" s="36">
        <f t="shared" si="97"/>
        <v>0</v>
      </c>
      <c r="T237" s="36">
        <f t="shared" si="97"/>
        <v>0</v>
      </c>
      <c r="U237" s="36">
        <f t="shared" si="97"/>
        <v>0</v>
      </c>
      <c r="V237" s="36">
        <f t="shared" si="97"/>
        <v>0</v>
      </c>
      <c r="W237" s="2"/>
    </row>
    <row r="238" spans="1:23" ht="62.25" customHeight="1" outlineLevel="5">
      <c r="A238" s="69" t="s">
        <v>278</v>
      </c>
      <c r="B238" s="30" t="s">
        <v>28</v>
      </c>
      <c r="C238" s="30" t="s">
        <v>78</v>
      </c>
      <c r="D238" s="33" t="s">
        <v>30</v>
      </c>
      <c r="E238" s="33" t="s">
        <v>276</v>
      </c>
      <c r="F238" s="33" t="s">
        <v>6</v>
      </c>
      <c r="G238" s="30"/>
      <c r="H238" s="30"/>
      <c r="I238" s="30"/>
      <c r="J238" s="30"/>
      <c r="K238" s="30"/>
      <c r="L238" s="30"/>
      <c r="M238" s="30"/>
      <c r="N238" s="36">
        <f>N239</f>
        <v>64036.000000000015</v>
      </c>
      <c r="O238" s="36">
        <f t="shared" ref="O238:V238" si="98">O239</f>
        <v>0</v>
      </c>
      <c r="P238" s="36">
        <f t="shared" si="98"/>
        <v>0</v>
      </c>
      <c r="Q238" s="36">
        <f t="shared" si="98"/>
        <v>0</v>
      </c>
      <c r="R238" s="36">
        <f t="shared" si="98"/>
        <v>0</v>
      </c>
      <c r="S238" s="36">
        <f t="shared" si="98"/>
        <v>0</v>
      </c>
      <c r="T238" s="36">
        <f t="shared" si="98"/>
        <v>0</v>
      </c>
      <c r="U238" s="36">
        <f t="shared" si="98"/>
        <v>0</v>
      </c>
      <c r="V238" s="36">
        <f t="shared" si="98"/>
        <v>0</v>
      </c>
      <c r="W238" s="2"/>
    </row>
    <row r="239" spans="1:23" ht="21.75" customHeight="1" outlineLevel="5">
      <c r="A239" s="59" t="s">
        <v>277</v>
      </c>
      <c r="B239" s="30" t="s">
        <v>28</v>
      </c>
      <c r="C239" s="30" t="s">
        <v>78</v>
      </c>
      <c r="D239" s="33" t="s">
        <v>30</v>
      </c>
      <c r="E239" s="33" t="s">
        <v>276</v>
      </c>
      <c r="F239" s="30">
        <v>800</v>
      </c>
      <c r="G239" s="30"/>
      <c r="H239" s="30"/>
      <c r="I239" s="30"/>
      <c r="J239" s="30"/>
      <c r="K239" s="30"/>
      <c r="L239" s="30"/>
      <c r="M239" s="30"/>
      <c r="N239" s="36">
        <f>384220-211412-2516.21-106255.79</f>
        <v>64036.000000000015</v>
      </c>
      <c r="O239" s="36"/>
      <c r="P239" s="36"/>
      <c r="Q239" s="36"/>
      <c r="R239" s="36"/>
      <c r="S239" s="36"/>
      <c r="T239" s="36"/>
      <c r="U239" s="36">
        <v>0</v>
      </c>
      <c r="V239" s="36">
        <v>0</v>
      </c>
      <c r="W239" s="2"/>
    </row>
    <row r="240" spans="1:23" ht="30" customHeight="1" outlineLevel="5">
      <c r="A240" s="65" t="s">
        <v>226</v>
      </c>
      <c r="B240" s="30" t="s">
        <v>28</v>
      </c>
      <c r="C240" s="30" t="s">
        <v>78</v>
      </c>
      <c r="D240" s="33" t="s">
        <v>30</v>
      </c>
      <c r="E240" s="33" t="s">
        <v>225</v>
      </c>
      <c r="F240" s="30" t="s">
        <v>6</v>
      </c>
      <c r="G240" s="30"/>
      <c r="H240" s="66" t="s">
        <v>264</v>
      </c>
      <c r="I240" s="30"/>
      <c r="J240" s="30"/>
      <c r="K240" s="30"/>
      <c r="L240" s="30"/>
      <c r="M240" s="30"/>
      <c r="N240" s="36">
        <f>N241</f>
        <v>100438744.45</v>
      </c>
      <c r="O240" s="36">
        <f t="shared" ref="O240:V240" si="99">O241</f>
        <v>0</v>
      </c>
      <c r="P240" s="36">
        <f t="shared" si="99"/>
        <v>0</v>
      </c>
      <c r="Q240" s="36">
        <f t="shared" si="99"/>
        <v>0</v>
      </c>
      <c r="R240" s="36">
        <f t="shared" si="99"/>
        <v>0</v>
      </c>
      <c r="S240" s="36">
        <f t="shared" si="99"/>
        <v>0</v>
      </c>
      <c r="T240" s="36">
        <f t="shared" si="99"/>
        <v>0</v>
      </c>
      <c r="U240" s="36">
        <f t="shared" si="99"/>
        <v>0</v>
      </c>
      <c r="V240" s="36">
        <f t="shared" si="99"/>
        <v>0</v>
      </c>
      <c r="W240" s="2"/>
    </row>
    <row r="241" spans="1:23" ht="34.5" customHeight="1" outlineLevel="5">
      <c r="A241" s="29" t="s">
        <v>211</v>
      </c>
      <c r="B241" s="30" t="s">
        <v>28</v>
      </c>
      <c r="C241" s="30" t="s">
        <v>78</v>
      </c>
      <c r="D241" s="33" t="s">
        <v>30</v>
      </c>
      <c r="E241" s="33" t="s">
        <v>225</v>
      </c>
      <c r="F241" s="30">
        <v>400</v>
      </c>
      <c r="G241" s="30"/>
      <c r="H241" s="30"/>
      <c r="I241" s="30"/>
      <c r="J241" s="30"/>
      <c r="K241" s="30"/>
      <c r="L241" s="30"/>
      <c r="M241" s="30"/>
      <c r="N241" s="36">
        <f>100428600+10143.53+0.92</f>
        <v>100438744.45</v>
      </c>
      <c r="O241" s="37"/>
      <c r="P241" s="37"/>
      <c r="Q241" s="37"/>
      <c r="R241" s="37"/>
      <c r="S241" s="37"/>
      <c r="T241" s="37"/>
      <c r="U241" s="36">
        <v>0</v>
      </c>
      <c r="V241" s="36">
        <v>0</v>
      </c>
      <c r="W241" s="2"/>
    </row>
    <row r="242" spans="1:23" ht="34.5" customHeight="1" outlineLevel="5">
      <c r="A242" s="122" t="s">
        <v>306</v>
      </c>
      <c r="B242" s="30" t="s">
        <v>28</v>
      </c>
      <c r="C242" s="30" t="s">
        <v>78</v>
      </c>
      <c r="D242" s="33" t="s">
        <v>30</v>
      </c>
      <c r="E242" s="33" t="s">
        <v>303</v>
      </c>
      <c r="F242" s="30" t="s">
        <v>6</v>
      </c>
      <c r="G242" s="30"/>
      <c r="H242" s="66" t="s">
        <v>305</v>
      </c>
      <c r="I242" s="30"/>
      <c r="J242" s="30"/>
      <c r="K242" s="30"/>
      <c r="L242" s="30"/>
      <c r="M242" s="30"/>
      <c r="N242" s="36">
        <f>N243</f>
        <v>24912616.210000001</v>
      </c>
      <c r="O242" s="36">
        <f t="shared" ref="O242:V242" si="100">O243</f>
        <v>0</v>
      </c>
      <c r="P242" s="36">
        <f t="shared" si="100"/>
        <v>0</v>
      </c>
      <c r="Q242" s="36">
        <f t="shared" si="100"/>
        <v>0</v>
      </c>
      <c r="R242" s="36">
        <f t="shared" si="100"/>
        <v>0</v>
      </c>
      <c r="S242" s="36">
        <f t="shared" si="100"/>
        <v>0</v>
      </c>
      <c r="T242" s="36">
        <f t="shared" si="100"/>
        <v>0</v>
      </c>
      <c r="U242" s="36">
        <f t="shared" si="100"/>
        <v>0</v>
      </c>
      <c r="V242" s="36">
        <f t="shared" si="100"/>
        <v>0</v>
      </c>
      <c r="W242" s="2"/>
    </row>
    <row r="243" spans="1:23" ht="34.5" customHeight="1" outlineLevel="5">
      <c r="A243" s="29" t="s">
        <v>211</v>
      </c>
      <c r="B243" s="30" t="s">
        <v>28</v>
      </c>
      <c r="C243" s="30" t="s">
        <v>78</v>
      </c>
      <c r="D243" s="33" t="s">
        <v>30</v>
      </c>
      <c r="E243" s="33" t="s">
        <v>304</v>
      </c>
      <c r="F243" s="30">
        <v>400</v>
      </c>
      <c r="G243" s="30"/>
      <c r="H243" s="30"/>
      <c r="I243" s="30"/>
      <c r="J243" s="30"/>
      <c r="K243" s="30"/>
      <c r="L243" s="30"/>
      <c r="M243" s="30"/>
      <c r="N243" s="36">
        <v>24912616.210000001</v>
      </c>
      <c r="O243" s="37"/>
      <c r="P243" s="37"/>
      <c r="Q243" s="37"/>
      <c r="R243" s="37"/>
      <c r="S243" s="37"/>
      <c r="T243" s="37"/>
      <c r="U243" s="36">
        <v>0</v>
      </c>
      <c r="V243" s="36">
        <v>0</v>
      </c>
      <c r="W243" s="2"/>
    </row>
    <row r="244" spans="1:23" outlineLevel="1">
      <c r="A244" s="31" t="s">
        <v>109</v>
      </c>
      <c r="B244" s="30" t="s">
        <v>28</v>
      </c>
      <c r="C244" s="30" t="s">
        <v>48</v>
      </c>
      <c r="D244" s="30" t="s">
        <v>4</v>
      </c>
      <c r="E244" s="30" t="s">
        <v>5</v>
      </c>
      <c r="F244" s="30" t="s">
        <v>6</v>
      </c>
      <c r="G244" s="30" t="s">
        <v>6</v>
      </c>
      <c r="H244" s="30"/>
      <c r="I244" s="30"/>
      <c r="J244" s="30"/>
      <c r="K244" s="30"/>
      <c r="L244" s="30"/>
      <c r="M244" s="30"/>
      <c r="N244" s="36">
        <f>N245+N249</f>
        <v>206900</v>
      </c>
      <c r="O244" s="36">
        <f t="shared" ref="O244:V244" si="101">O245+O249</f>
        <v>50000</v>
      </c>
      <c r="P244" s="36">
        <f t="shared" si="101"/>
        <v>0</v>
      </c>
      <c r="Q244" s="36">
        <f t="shared" si="101"/>
        <v>50000</v>
      </c>
      <c r="R244" s="36">
        <f t="shared" si="101"/>
        <v>0</v>
      </c>
      <c r="S244" s="36">
        <f t="shared" si="101"/>
        <v>50000</v>
      </c>
      <c r="T244" s="36">
        <f t="shared" si="101"/>
        <v>0</v>
      </c>
      <c r="U244" s="36">
        <f t="shared" si="101"/>
        <v>50000</v>
      </c>
      <c r="V244" s="36">
        <f t="shared" si="101"/>
        <v>50000</v>
      </c>
      <c r="W244" s="2"/>
    </row>
    <row r="245" spans="1:23" ht="30" outlineLevel="2">
      <c r="A245" s="29" t="s">
        <v>110</v>
      </c>
      <c r="B245" s="30" t="s">
        <v>28</v>
      </c>
      <c r="C245" s="30" t="s">
        <v>48</v>
      </c>
      <c r="D245" s="30" t="s">
        <v>47</v>
      </c>
      <c r="E245" s="30" t="s">
        <v>5</v>
      </c>
      <c r="F245" s="30" t="s">
        <v>6</v>
      </c>
      <c r="G245" s="30" t="s">
        <v>6</v>
      </c>
      <c r="H245" s="30"/>
      <c r="I245" s="30"/>
      <c r="J245" s="30"/>
      <c r="K245" s="30"/>
      <c r="L245" s="30"/>
      <c r="M245" s="30"/>
      <c r="N245" s="36">
        <f>N246</f>
        <v>6900</v>
      </c>
      <c r="O245" s="37">
        <v>50000</v>
      </c>
      <c r="P245" s="37">
        <v>0</v>
      </c>
      <c r="Q245" s="37">
        <v>50000</v>
      </c>
      <c r="R245" s="37">
        <v>0</v>
      </c>
      <c r="S245" s="37">
        <v>50000</v>
      </c>
      <c r="T245" s="37">
        <v>0</v>
      </c>
      <c r="U245" s="36">
        <v>50000</v>
      </c>
      <c r="V245" s="36">
        <v>50000</v>
      </c>
      <c r="W245" s="2"/>
    </row>
    <row r="246" spans="1:23" ht="75" outlineLevel="3">
      <c r="A246" s="29" t="s">
        <v>111</v>
      </c>
      <c r="B246" s="30" t="s">
        <v>28</v>
      </c>
      <c r="C246" s="30" t="s">
        <v>48</v>
      </c>
      <c r="D246" s="30" t="s">
        <v>47</v>
      </c>
      <c r="E246" s="30" t="s">
        <v>112</v>
      </c>
      <c r="F246" s="30" t="s">
        <v>6</v>
      </c>
      <c r="G246" s="30" t="s">
        <v>6</v>
      </c>
      <c r="H246" s="30"/>
      <c r="I246" s="30"/>
      <c r="J246" s="30"/>
      <c r="K246" s="30"/>
      <c r="L246" s="30"/>
      <c r="M246" s="30"/>
      <c r="N246" s="36">
        <f>N247</f>
        <v>6900</v>
      </c>
      <c r="O246" s="37">
        <v>50000</v>
      </c>
      <c r="P246" s="37">
        <v>0</v>
      </c>
      <c r="Q246" s="37">
        <v>50000</v>
      </c>
      <c r="R246" s="37">
        <v>0</v>
      </c>
      <c r="S246" s="37">
        <v>50000</v>
      </c>
      <c r="T246" s="37">
        <v>0</v>
      </c>
      <c r="U246" s="36">
        <v>50000</v>
      </c>
      <c r="V246" s="36">
        <v>50000</v>
      </c>
      <c r="W246" s="2"/>
    </row>
    <row r="247" spans="1:23" ht="32.25" customHeight="1" outlineLevel="5">
      <c r="A247" s="29" t="s">
        <v>14</v>
      </c>
      <c r="B247" s="30" t="s">
        <v>28</v>
      </c>
      <c r="C247" s="30" t="s">
        <v>48</v>
      </c>
      <c r="D247" s="30" t="s">
        <v>47</v>
      </c>
      <c r="E247" s="30" t="s">
        <v>112</v>
      </c>
      <c r="F247" s="30" t="s">
        <v>15</v>
      </c>
      <c r="G247" s="30" t="s">
        <v>6</v>
      </c>
      <c r="H247" s="30"/>
      <c r="I247" s="30"/>
      <c r="J247" s="30"/>
      <c r="K247" s="30"/>
      <c r="L247" s="30"/>
      <c r="M247" s="30"/>
      <c r="N247" s="36">
        <f>N248</f>
        <v>6900</v>
      </c>
      <c r="O247" s="37">
        <v>50000</v>
      </c>
      <c r="P247" s="37">
        <v>0</v>
      </c>
      <c r="Q247" s="37">
        <v>50000</v>
      </c>
      <c r="R247" s="37">
        <v>0</v>
      </c>
      <c r="S247" s="37">
        <v>50000</v>
      </c>
      <c r="T247" s="37">
        <v>0</v>
      </c>
      <c r="U247" s="36">
        <v>50000</v>
      </c>
      <c r="V247" s="36">
        <v>50000</v>
      </c>
      <c r="W247" s="2"/>
    </row>
    <row r="248" spans="1:23" outlineLevel="5">
      <c r="A248" s="29" t="s">
        <v>153</v>
      </c>
      <c r="B248" s="30" t="s">
        <v>28</v>
      </c>
      <c r="C248" s="30" t="s">
        <v>48</v>
      </c>
      <c r="D248" s="30" t="s">
        <v>47</v>
      </c>
      <c r="E248" s="30" t="s">
        <v>112</v>
      </c>
      <c r="F248" s="30" t="s">
        <v>15</v>
      </c>
      <c r="G248" s="30"/>
      <c r="H248" s="30" t="s">
        <v>140</v>
      </c>
      <c r="I248" s="30"/>
      <c r="J248" s="30"/>
      <c r="K248" s="30"/>
      <c r="L248" s="30"/>
      <c r="M248" s="30"/>
      <c r="N248" s="36">
        <f>50000-43100</f>
        <v>6900</v>
      </c>
      <c r="O248" s="37"/>
      <c r="P248" s="37"/>
      <c r="Q248" s="37"/>
      <c r="R248" s="37"/>
      <c r="S248" s="37"/>
      <c r="T248" s="37"/>
      <c r="U248" s="36">
        <v>50000</v>
      </c>
      <c r="V248" s="36">
        <v>50000</v>
      </c>
      <c r="W248" s="2"/>
    </row>
    <row r="249" spans="1:23" outlineLevel="2">
      <c r="A249" s="29" t="s">
        <v>113</v>
      </c>
      <c r="B249" s="30" t="s">
        <v>28</v>
      </c>
      <c r="C249" s="30" t="s">
        <v>48</v>
      </c>
      <c r="D249" s="30" t="s">
        <v>48</v>
      </c>
      <c r="E249" s="30" t="s">
        <v>5</v>
      </c>
      <c r="F249" s="30" t="s">
        <v>6</v>
      </c>
      <c r="G249" s="30" t="s">
        <v>6</v>
      </c>
      <c r="H249" s="30"/>
      <c r="I249" s="30"/>
      <c r="J249" s="30"/>
      <c r="K249" s="30"/>
      <c r="L249" s="30"/>
      <c r="M249" s="30"/>
      <c r="N249" s="36">
        <f>N250</f>
        <v>200000</v>
      </c>
      <c r="O249" s="36">
        <f t="shared" ref="O249:V249" si="102">O250</f>
        <v>0</v>
      </c>
      <c r="P249" s="36">
        <f t="shared" si="102"/>
        <v>0</v>
      </c>
      <c r="Q249" s="36">
        <f t="shared" si="102"/>
        <v>0</v>
      </c>
      <c r="R249" s="36">
        <f t="shared" si="102"/>
        <v>0</v>
      </c>
      <c r="S249" s="36">
        <f t="shared" si="102"/>
        <v>0</v>
      </c>
      <c r="T249" s="36">
        <f t="shared" si="102"/>
        <v>0</v>
      </c>
      <c r="U249" s="36">
        <f t="shared" si="102"/>
        <v>0</v>
      </c>
      <c r="V249" s="36">
        <f t="shared" si="102"/>
        <v>0</v>
      </c>
      <c r="W249" s="2"/>
    </row>
    <row r="250" spans="1:23" ht="51" customHeight="1" outlineLevel="5">
      <c r="A250" s="48" t="s">
        <v>236</v>
      </c>
      <c r="B250" s="30" t="s">
        <v>28</v>
      </c>
      <c r="C250" s="30" t="s">
        <v>48</v>
      </c>
      <c r="D250" s="30" t="s">
        <v>48</v>
      </c>
      <c r="E250" s="33" t="s">
        <v>235</v>
      </c>
      <c r="F250" s="33" t="s">
        <v>6</v>
      </c>
      <c r="G250" s="30"/>
      <c r="H250" s="30"/>
      <c r="I250" s="30"/>
      <c r="J250" s="30"/>
      <c r="K250" s="30"/>
      <c r="L250" s="30"/>
      <c r="M250" s="30"/>
      <c r="N250" s="36">
        <f>N251</f>
        <v>200000</v>
      </c>
      <c r="O250" s="36">
        <f t="shared" ref="O250:V251" si="103">O251</f>
        <v>0</v>
      </c>
      <c r="P250" s="36">
        <f t="shared" si="103"/>
        <v>0</v>
      </c>
      <c r="Q250" s="36">
        <f t="shared" si="103"/>
        <v>0</v>
      </c>
      <c r="R250" s="36">
        <f t="shared" si="103"/>
        <v>0</v>
      </c>
      <c r="S250" s="36">
        <f t="shared" si="103"/>
        <v>0</v>
      </c>
      <c r="T250" s="36">
        <f t="shared" si="103"/>
        <v>0</v>
      </c>
      <c r="U250" s="36">
        <f t="shared" si="103"/>
        <v>0</v>
      </c>
      <c r="V250" s="36">
        <f t="shared" si="103"/>
        <v>0</v>
      </c>
      <c r="W250" s="2"/>
    </row>
    <row r="251" spans="1:23" ht="32.25" customHeight="1" outlineLevel="5">
      <c r="A251" s="29" t="s">
        <v>201</v>
      </c>
      <c r="B251" s="30" t="s">
        <v>28</v>
      </c>
      <c r="C251" s="30" t="s">
        <v>48</v>
      </c>
      <c r="D251" s="30" t="s">
        <v>48</v>
      </c>
      <c r="E251" s="33" t="s">
        <v>235</v>
      </c>
      <c r="F251" s="30">
        <v>200</v>
      </c>
      <c r="G251" s="30"/>
      <c r="H251" s="30"/>
      <c r="I251" s="30"/>
      <c r="J251" s="30"/>
      <c r="K251" s="30"/>
      <c r="L251" s="30"/>
      <c r="M251" s="30"/>
      <c r="N251" s="36">
        <f>N252+N253</f>
        <v>200000</v>
      </c>
      <c r="O251" s="36">
        <f t="shared" si="103"/>
        <v>0</v>
      </c>
      <c r="P251" s="36">
        <f t="shared" si="103"/>
        <v>0</v>
      </c>
      <c r="Q251" s="36">
        <f t="shared" si="103"/>
        <v>0</v>
      </c>
      <c r="R251" s="36">
        <f t="shared" si="103"/>
        <v>0</v>
      </c>
      <c r="S251" s="36">
        <f t="shared" si="103"/>
        <v>0</v>
      </c>
      <c r="T251" s="36">
        <f t="shared" si="103"/>
        <v>0</v>
      </c>
      <c r="U251" s="36">
        <f t="shared" si="103"/>
        <v>0</v>
      </c>
      <c r="V251" s="36">
        <f t="shared" si="103"/>
        <v>0</v>
      </c>
      <c r="W251" s="2"/>
    </row>
    <row r="252" spans="1:23" ht="20.100000000000001" customHeight="1" outlineLevel="5">
      <c r="A252" s="29" t="s">
        <v>153</v>
      </c>
      <c r="B252" s="30" t="s">
        <v>28</v>
      </c>
      <c r="C252" s="30" t="s">
        <v>48</v>
      </c>
      <c r="D252" s="30" t="s">
        <v>48</v>
      </c>
      <c r="E252" s="33" t="s">
        <v>235</v>
      </c>
      <c r="F252" s="30">
        <v>200</v>
      </c>
      <c r="G252" s="30"/>
      <c r="H252" s="30" t="s">
        <v>140</v>
      </c>
      <c r="I252" s="30"/>
      <c r="J252" s="30"/>
      <c r="K252" s="30"/>
      <c r="L252" s="30"/>
      <c r="M252" s="30"/>
      <c r="N252" s="36">
        <v>153506</v>
      </c>
      <c r="O252" s="37"/>
      <c r="P252" s="37"/>
      <c r="Q252" s="37"/>
      <c r="R252" s="37"/>
      <c r="S252" s="37"/>
      <c r="T252" s="37"/>
      <c r="U252" s="36">
        <v>0</v>
      </c>
      <c r="V252" s="36">
        <v>0</v>
      </c>
      <c r="W252" s="2"/>
    </row>
    <row r="253" spans="1:23" ht="33" customHeight="1" outlineLevel="5">
      <c r="A253" s="29" t="s">
        <v>150</v>
      </c>
      <c r="B253" s="30" t="s">
        <v>28</v>
      </c>
      <c r="C253" s="30" t="s">
        <v>48</v>
      </c>
      <c r="D253" s="30" t="s">
        <v>48</v>
      </c>
      <c r="E253" s="33" t="s">
        <v>235</v>
      </c>
      <c r="F253" s="30">
        <v>200</v>
      </c>
      <c r="G253" s="30"/>
      <c r="H253" s="30" t="s">
        <v>149</v>
      </c>
      <c r="I253" s="30"/>
      <c r="J253" s="30"/>
      <c r="K253" s="30"/>
      <c r="L253" s="30"/>
      <c r="M253" s="30"/>
      <c r="N253" s="36">
        <v>46494</v>
      </c>
      <c r="O253" s="37"/>
      <c r="P253" s="37"/>
      <c r="Q253" s="37"/>
      <c r="R253" s="37"/>
      <c r="S253" s="37"/>
      <c r="T253" s="37"/>
      <c r="U253" s="36">
        <v>0</v>
      </c>
      <c r="V253" s="36">
        <v>0</v>
      </c>
      <c r="W253" s="2"/>
    </row>
    <row r="254" spans="1:23" outlineLevel="1">
      <c r="A254" s="29" t="s">
        <v>114</v>
      </c>
      <c r="B254" s="30" t="s">
        <v>28</v>
      </c>
      <c r="C254" s="30" t="s">
        <v>115</v>
      </c>
      <c r="D254" s="30" t="s">
        <v>4</v>
      </c>
      <c r="E254" s="30" t="s">
        <v>5</v>
      </c>
      <c r="F254" s="30" t="s">
        <v>6</v>
      </c>
      <c r="G254" s="30" t="s">
        <v>6</v>
      </c>
      <c r="H254" s="30"/>
      <c r="I254" s="30"/>
      <c r="J254" s="30"/>
      <c r="K254" s="30"/>
      <c r="L254" s="30"/>
      <c r="M254" s="30"/>
      <c r="N254" s="36">
        <f>N255</f>
        <v>28700559.210000001</v>
      </c>
      <c r="O254" s="36">
        <f t="shared" ref="O254:V254" si="104">O255</f>
        <v>24952475.789999999</v>
      </c>
      <c r="P254" s="36">
        <f t="shared" si="104"/>
        <v>0</v>
      </c>
      <c r="Q254" s="36">
        <f t="shared" si="104"/>
        <v>24952475.789999999</v>
      </c>
      <c r="R254" s="36">
        <f t="shared" si="104"/>
        <v>0</v>
      </c>
      <c r="S254" s="36">
        <f t="shared" si="104"/>
        <v>24952475.789999999</v>
      </c>
      <c r="T254" s="36">
        <f t="shared" si="104"/>
        <v>0</v>
      </c>
      <c r="U254" s="36">
        <f t="shared" si="104"/>
        <v>23306258.420000002</v>
      </c>
      <c r="V254" s="36">
        <f t="shared" si="104"/>
        <v>23454973.16</v>
      </c>
      <c r="W254" s="2"/>
    </row>
    <row r="255" spans="1:23" outlineLevel="2">
      <c r="A255" s="29" t="s">
        <v>116</v>
      </c>
      <c r="B255" s="30" t="s">
        <v>28</v>
      </c>
      <c r="C255" s="30" t="s">
        <v>115</v>
      </c>
      <c r="D255" s="30" t="s">
        <v>8</v>
      </c>
      <c r="E255" s="30" t="s">
        <v>5</v>
      </c>
      <c r="F255" s="30" t="s">
        <v>6</v>
      </c>
      <c r="G255" s="30" t="s">
        <v>6</v>
      </c>
      <c r="H255" s="30"/>
      <c r="I255" s="30"/>
      <c r="J255" s="30"/>
      <c r="K255" s="30"/>
      <c r="L255" s="30"/>
      <c r="M255" s="30"/>
      <c r="N255" s="36">
        <f>N256+N260+N264+N266+N258+N262</f>
        <v>28700559.210000001</v>
      </c>
      <c r="O255" s="36">
        <f t="shared" ref="O255:V255" si="105">O256+O260+O264+O266+O258+O262</f>
        <v>24952475.789999999</v>
      </c>
      <c r="P255" s="36">
        <f t="shared" si="105"/>
        <v>0</v>
      </c>
      <c r="Q255" s="36">
        <f t="shared" si="105"/>
        <v>24952475.789999999</v>
      </c>
      <c r="R255" s="36">
        <f t="shared" si="105"/>
        <v>0</v>
      </c>
      <c r="S255" s="36">
        <f t="shared" si="105"/>
        <v>24952475.789999999</v>
      </c>
      <c r="T255" s="36">
        <f t="shared" si="105"/>
        <v>0</v>
      </c>
      <c r="U255" s="36">
        <f t="shared" si="105"/>
        <v>23306258.420000002</v>
      </c>
      <c r="V255" s="36">
        <f t="shared" si="105"/>
        <v>23454973.16</v>
      </c>
      <c r="W255" s="2"/>
    </row>
    <row r="256" spans="1:23" ht="45" outlineLevel="3">
      <c r="A256" s="29" t="s">
        <v>117</v>
      </c>
      <c r="B256" s="30" t="s">
        <v>28</v>
      </c>
      <c r="C256" s="30" t="s">
        <v>115</v>
      </c>
      <c r="D256" s="30" t="s">
        <v>8</v>
      </c>
      <c r="E256" s="30" t="s">
        <v>118</v>
      </c>
      <c r="F256" s="30" t="s">
        <v>6</v>
      </c>
      <c r="G256" s="30" t="s">
        <v>6</v>
      </c>
      <c r="H256" s="30"/>
      <c r="I256" s="30"/>
      <c r="J256" s="30"/>
      <c r="K256" s="30"/>
      <c r="L256" s="30"/>
      <c r="M256" s="30"/>
      <c r="N256" s="36">
        <f>N257</f>
        <v>22226625</v>
      </c>
      <c r="O256" s="36">
        <f t="shared" ref="O256:V256" si="106">O257</f>
        <v>18872300</v>
      </c>
      <c r="P256" s="36">
        <f t="shared" si="106"/>
        <v>0</v>
      </c>
      <c r="Q256" s="36">
        <f t="shared" si="106"/>
        <v>18872300</v>
      </c>
      <c r="R256" s="36">
        <f t="shared" si="106"/>
        <v>0</v>
      </c>
      <c r="S256" s="36">
        <f t="shared" si="106"/>
        <v>18872300</v>
      </c>
      <c r="T256" s="36">
        <f t="shared" si="106"/>
        <v>0</v>
      </c>
      <c r="U256" s="36">
        <f t="shared" si="106"/>
        <v>21128100</v>
      </c>
      <c r="V256" s="36">
        <f t="shared" si="106"/>
        <v>21232500</v>
      </c>
      <c r="W256" s="2"/>
    </row>
    <row r="257" spans="1:23" ht="45" outlineLevel="5">
      <c r="A257" s="29" t="s">
        <v>119</v>
      </c>
      <c r="B257" s="30" t="s">
        <v>28</v>
      </c>
      <c r="C257" s="30" t="s">
        <v>115</v>
      </c>
      <c r="D257" s="30" t="s">
        <v>8</v>
      </c>
      <c r="E257" s="30" t="s">
        <v>118</v>
      </c>
      <c r="F257" s="30" t="s">
        <v>120</v>
      </c>
      <c r="G257" s="30" t="s">
        <v>6</v>
      </c>
      <c r="H257" s="30"/>
      <c r="I257" s="30"/>
      <c r="J257" s="30"/>
      <c r="K257" s="30"/>
      <c r="L257" s="30"/>
      <c r="M257" s="30"/>
      <c r="N257" s="36">
        <f>21573300+60350+1120775+172200+300000-1000000</f>
        <v>22226625</v>
      </c>
      <c r="O257" s="37">
        <v>18872300</v>
      </c>
      <c r="P257" s="37">
        <v>0</v>
      </c>
      <c r="Q257" s="37">
        <v>18872300</v>
      </c>
      <c r="R257" s="37">
        <v>0</v>
      </c>
      <c r="S257" s="37">
        <v>18872300</v>
      </c>
      <c r="T257" s="37">
        <v>0</v>
      </c>
      <c r="U257" s="36">
        <v>21128100</v>
      </c>
      <c r="V257" s="36">
        <v>21232500</v>
      </c>
      <c r="W257" s="2"/>
    </row>
    <row r="258" spans="1:23" ht="30" outlineLevel="5">
      <c r="A258" s="32" t="s">
        <v>237</v>
      </c>
      <c r="B258" s="30">
        <v>922</v>
      </c>
      <c r="C258" s="33" t="s">
        <v>115</v>
      </c>
      <c r="D258" s="33" t="s">
        <v>8</v>
      </c>
      <c r="E258" s="33" t="s">
        <v>238</v>
      </c>
      <c r="F258" s="33" t="s">
        <v>6</v>
      </c>
      <c r="G258" s="30"/>
      <c r="H258" s="30"/>
      <c r="I258" s="30"/>
      <c r="J258" s="30"/>
      <c r="K258" s="30"/>
      <c r="L258" s="30"/>
      <c r="M258" s="30"/>
      <c r="N258" s="36">
        <f>N259</f>
        <v>270000</v>
      </c>
      <c r="O258" s="36">
        <f t="shared" ref="O258:V258" si="107">O259</f>
        <v>0</v>
      </c>
      <c r="P258" s="36">
        <f t="shared" si="107"/>
        <v>0</v>
      </c>
      <c r="Q258" s="36">
        <f t="shared" si="107"/>
        <v>0</v>
      </c>
      <c r="R258" s="36">
        <f t="shared" si="107"/>
        <v>0</v>
      </c>
      <c r="S258" s="36">
        <f t="shared" si="107"/>
        <v>0</v>
      </c>
      <c r="T258" s="36">
        <f t="shared" si="107"/>
        <v>0</v>
      </c>
      <c r="U258" s="36">
        <f t="shared" si="107"/>
        <v>0</v>
      </c>
      <c r="V258" s="36">
        <f t="shared" si="107"/>
        <v>0</v>
      </c>
      <c r="W258" s="2"/>
    </row>
    <row r="259" spans="1:23" ht="30" outlineLevel="5">
      <c r="A259" s="29" t="s">
        <v>227</v>
      </c>
      <c r="B259" s="30">
        <v>922</v>
      </c>
      <c r="C259" s="33" t="s">
        <v>115</v>
      </c>
      <c r="D259" s="33" t="s">
        <v>8</v>
      </c>
      <c r="E259" s="33" t="s">
        <v>238</v>
      </c>
      <c r="F259" s="30">
        <v>600</v>
      </c>
      <c r="G259" s="30"/>
      <c r="H259" s="30"/>
      <c r="I259" s="30"/>
      <c r="J259" s="30"/>
      <c r="K259" s="30"/>
      <c r="L259" s="30"/>
      <c r="M259" s="30"/>
      <c r="N259" s="36">
        <v>270000</v>
      </c>
      <c r="O259" s="37"/>
      <c r="P259" s="37"/>
      <c r="Q259" s="37"/>
      <c r="R259" s="37"/>
      <c r="S259" s="37"/>
      <c r="T259" s="37"/>
      <c r="U259" s="36">
        <v>0</v>
      </c>
      <c r="V259" s="36">
        <v>0</v>
      </c>
      <c r="W259" s="2"/>
    </row>
    <row r="260" spans="1:23" ht="45" outlineLevel="3">
      <c r="A260" s="29" t="s">
        <v>121</v>
      </c>
      <c r="B260" s="30" t="s">
        <v>28</v>
      </c>
      <c r="C260" s="30" t="s">
        <v>115</v>
      </c>
      <c r="D260" s="30" t="s">
        <v>8</v>
      </c>
      <c r="E260" s="30" t="s">
        <v>122</v>
      </c>
      <c r="F260" s="30" t="s">
        <v>6</v>
      </c>
      <c r="G260" s="30" t="s">
        <v>6</v>
      </c>
      <c r="H260" s="30"/>
      <c r="I260" s="30"/>
      <c r="J260" s="30"/>
      <c r="K260" s="30"/>
      <c r="L260" s="30"/>
      <c r="M260" s="30"/>
      <c r="N260" s="36">
        <f>N261</f>
        <v>2125410</v>
      </c>
      <c r="O260" s="36">
        <f t="shared" ref="O260:V260" si="108">O261</f>
        <v>1901200</v>
      </c>
      <c r="P260" s="36">
        <f t="shared" si="108"/>
        <v>0</v>
      </c>
      <c r="Q260" s="36">
        <f t="shared" si="108"/>
        <v>1901200</v>
      </c>
      <c r="R260" s="36">
        <f t="shared" si="108"/>
        <v>0</v>
      </c>
      <c r="S260" s="36">
        <f t="shared" si="108"/>
        <v>1901200</v>
      </c>
      <c r="T260" s="36">
        <f t="shared" si="108"/>
        <v>0</v>
      </c>
      <c r="U260" s="36">
        <f t="shared" si="108"/>
        <v>2125010</v>
      </c>
      <c r="V260" s="36">
        <f t="shared" si="108"/>
        <v>2170010</v>
      </c>
      <c r="W260" s="2"/>
    </row>
    <row r="261" spans="1:23" ht="30" outlineLevel="5">
      <c r="A261" s="29" t="s">
        <v>227</v>
      </c>
      <c r="B261" s="30" t="s">
        <v>28</v>
      </c>
      <c r="C261" s="30" t="s">
        <v>115</v>
      </c>
      <c r="D261" s="30" t="s">
        <v>8</v>
      </c>
      <c r="E261" s="30" t="s">
        <v>122</v>
      </c>
      <c r="F261" s="30" t="s">
        <v>120</v>
      </c>
      <c r="G261" s="30" t="s">
        <v>6</v>
      </c>
      <c r="H261" s="30"/>
      <c r="I261" s="30"/>
      <c r="J261" s="30"/>
      <c r="K261" s="30"/>
      <c r="L261" s="30"/>
      <c r="M261" s="30"/>
      <c r="N261" s="36">
        <v>2125410</v>
      </c>
      <c r="O261" s="37">
        <v>1901200</v>
      </c>
      <c r="P261" s="37">
        <v>0</v>
      </c>
      <c r="Q261" s="37">
        <v>1901200</v>
      </c>
      <c r="R261" s="37">
        <v>0</v>
      </c>
      <c r="S261" s="37">
        <v>1901200</v>
      </c>
      <c r="T261" s="37">
        <v>0</v>
      </c>
      <c r="U261" s="36">
        <v>2125010</v>
      </c>
      <c r="V261" s="36">
        <v>2170010</v>
      </c>
      <c r="W261" s="2"/>
    </row>
    <row r="262" spans="1:23" ht="60" outlineLevel="5">
      <c r="A262" s="29" t="s">
        <v>293</v>
      </c>
      <c r="B262" s="30" t="s">
        <v>28</v>
      </c>
      <c r="C262" s="30" t="s">
        <v>115</v>
      </c>
      <c r="D262" s="30" t="s">
        <v>8</v>
      </c>
      <c r="E262" s="30" t="s">
        <v>292</v>
      </c>
      <c r="F262" s="30" t="s">
        <v>6</v>
      </c>
      <c r="G262" s="30"/>
      <c r="H262" s="30"/>
      <c r="I262" s="30"/>
      <c r="J262" s="30"/>
      <c r="K262" s="30"/>
      <c r="L262" s="30"/>
      <c r="M262" s="30"/>
      <c r="N262" s="36">
        <f>N263</f>
        <v>58625.26</v>
      </c>
      <c r="O262" s="36">
        <f t="shared" ref="O262:V262" si="109">O263</f>
        <v>0</v>
      </c>
      <c r="P262" s="36">
        <f t="shared" si="109"/>
        <v>0</v>
      </c>
      <c r="Q262" s="36">
        <f t="shared" si="109"/>
        <v>0</v>
      </c>
      <c r="R262" s="36">
        <f t="shared" si="109"/>
        <v>0</v>
      </c>
      <c r="S262" s="36">
        <f t="shared" si="109"/>
        <v>0</v>
      </c>
      <c r="T262" s="36">
        <f t="shared" si="109"/>
        <v>0</v>
      </c>
      <c r="U262" s="36">
        <f t="shared" si="109"/>
        <v>53148.42</v>
      </c>
      <c r="V262" s="36">
        <f t="shared" si="109"/>
        <v>52463.16</v>
      </c>
      <c r="W262" s="2"/>
    </row>
    <row r="263" spans="1:23" ht="31.5" customHeight="1" outlineLevel="5">
      <c r="A263" s="29" t="s">
        <v>227</v>
      </c>
      <c r="B263" s="30" t="s">
        <v>28</v>
      </c>
      <c r="C263" s="30" t="s">
        <v>115</v>
      </c>
      <c r="D263" s="30" t="s">
        <v>8</v>
      </c>
      <c r="E263" s="30" t="s">
        <v>292</v>
      </c>
      <c r="F263" s="30">
        <v>600</v>
      </c>
      <c r="G263" s="30"/>
      <c r="H263" s="30"/>
      <c r="I263" s="30"/>
      <c r="J263" s="30"/>
      <c r="K263" s="30"/>
      <c r="L263" s="30"/>
      <c r="M263" s="30"/>
      <c r="N263" s="36">
        <v>58625.26</v>
      </c>
      <c r="O263" s="37"/>
      <c r="P263" s="37"/>
      <c r="Q263" s="37"/>
      <c r="R263" s="37"/>
      <c r="S263" s="37"/>
      <c r="T263" s="37"/>
      <c r="U263" s="36">
        <v>53148.42</v>
      </c>
      <c r="V263" s="36">
        <v>52463.16</v>
      </c>
      <c r="W263" s="2"/>
    </row>
    <row r="264" spans="1:23" ht="81" customHeight="1" outlineLevel="3">
      <c r="A264" s="29" t="s">
        <v>280</v>
      </c>
      <c r="B264" s="30" t="s">
        <v>28</v>
      </c>
      <c r="C264" s="30" t="s">
        <v>115</v>
      </c>
      <c r="D264" s="30" t="s">
        <v>8</v>
      </c>
      <c r="E264" s="30" t="s">
        <v>123</v>
      </c>
      <c r="F264" s="30" t="s">
        <v>6</v>
      </c>
      <c r="G264" s="30" t="s">
        <v>6</v>
      </c>
      <c r="H264" s="30"/>
      <c r="I264" s="30"/>
      <c r="J264" s="30"/>
      <c r="K264" s="30"/>
      <c r="L264" s="30"/>
      <c r="M264" s="30"/>
      <c r="N264" s="36">
        <f>N265</f>
        <v>3818904</v>
      </c>
      <c r="O264" s="36">
        <f t="shared" ref="O264:V264" si="110">O265</f>
        <v>3970027</v>
      </c>
      <c r="P264" s="36">
        <f t="shared" si="110"/>
        <v>0</v>
      </c>
      <c r="Q264" s="36">
        <f t="shared" si="110"/>
        <v>3970027</v>
      </c>
      <c r="R264" s="36">
        <f t="shared" si="110"/>
        <v>0</v>
      </c>
      <c r="S264" s="36">
        <f t="shared" si="110"/>
        <v>3970027</v>
      </c>
      <c r="T264" s="36">
        <f t="shared" si="110"/>
        <v>0</v>
      </c>
      <c r="U264" s="36">
        <f t="shared" si="110"/>
        <v>0</v>
      </c>
      <c r="V264" s="36">
        <f t="shared" si="110"/>
        <v>0</v>
      </c>
      <c r="W264" s="2"/>
    </row>
    <row r="265" spans="1:23" ht="45" outlineLevel="5">
      <c r="A265" s="29" t="s">
        <v>119</v>
      </c>
      <c r="B265" s="30" t="s">
        <v>28</v>
      </c>
      <c r="C265" s="30" t="s">
        <v>115</v>
      </c>
      <c r="D265" s="30" t="s">
        <v>8</v>
      </c>
      <c r="E265" s="30" t="s">
        <v>123</v>
      </c>
      <c r="F265" s="30" t="s">
        <v>120</v>
      </c>
      <c r="G265" s="30" t="s">
        <v>6</v>
      </c>
      <c r="H265" s="30" t="s">
        <v>208</v>
      </c>
      <c r="I265" s="30"/>
      <c r="J265" s="30"/>
      <c r="K265" s="30"/>
      <c r="L265" s="30"/>
      <c r="M265" s="30"/>
      <c r="N265" s="36">
        <v>3818904</v>
      </c>
      <c r="O265" s="37">
        <v>3970027</v>
      </c>
      <c r="P265" s="37">
        <v>0</v>
      </c>
      <c r="Q265" s="37">
        <v>3970027</v>
      </c>
      <c r="R265" s="37">
        <v>0</v>
      </c>
      <c r="S265" s="37">
        <v>3970027</v>
      </c>
      <c r="T265" s="37">
        <v>0</v>
      </c>
      <c r="U265" s="36">
        <v>0</v>
      </c>
      <c r="V265" s="36">
        <v>0</v>
      </c>
      <c r="W265" s="2"/>
    </row>
    <row r="266" spans="1:23" ht="75" outlineLevel="3">
      <c r="A266" s="29" t="s">
        <v>281</v>
      </c>
      <c r="B266" s="30" t="s">
        <v>28</v>
      </c>
      <c r="C266" s="30" t="s">
        <v>115</v>
      </c>
      <c r="D266" s="30" t="s">
        <v>8</v>
      </c>
      <c r="E266" s="30" t="s">
        <v>124</v>
      </c>
      <c r="F266" s="30" t="s">
        <v>6</v>
      </c>
      <c r="G266" s="30" t="s">
        <v>6</v>
      </c>
      <c r="H266" s="30"/>
      <c r="I266" s="30"/>
      <c r="J266" s="30"/>
      <c r="K266" s="30"/>
      <c r="L266" s="30"/>
      <c r="M266" s="30"/>
      <c r="N266" s="36">
        <f>N267</f>
        <v>200994.95</v>
      </c>
      <c r="O266" s="36">
        <f t="shared" ref="O266:V266" si="111">O267</f>
        <v>208948.79</v>
      </c>
      <c r="P266" s="36">
        <f t="shared" si="111"/>
        <v>0</v>
      </c>
      <c r="Q266" s="36">
        <f t="shared" si="111"/>
        <v>208948.79</v>
      </c>
      <c r="R266" s="36">
        <f t="shared" si="111"/>
        <v>0</v>
      </c>
      <c r="S266" s="36">
        <f t="shared" si="111"/>
        <v>208948.79</v>
      </c>
      <c r="T266" s="36">
        <f t="shared" si="111"/>
        <v>0</v>
      </c>
      <c r="U266" s="36">
        <f t="shared" si="111"/>
        <v>0</v>
      </c>
      <c r="V266" s="36">
        <f t="shared" si="111"/>
        <v>0</v>
      </c>
      <c r="W266" s="2"/>
    </row>
    <row r="267" spans="1:23" ht="45" outlineLevel="5">
      <c r="A267" s="29" t="s">
        <v>119</v>
      </c>
      <c r="B267" s="30" t="s">
        <v>28</v>
      </c>
      <c r="C267" s="30" t="s">
        <v>115</v>
      </c>
      <c r="D267" s="30" t="s">
        <v>8</v>
      </c>
      <c r="E267" s="30" t="s">
        <v>124</v>
      </c>
      <c r="F267" s="30" t="s">
        <v>120</v>
      </c>
      <c r="G267" s="30" t="s">
        <v>6</v>
      </c>
      <c r="H267" s="30"/>
      <c r="I267" s="30"/>
      <c r="J267" s="30"/>
      <c r="K267" s="30"/>
      <c r="L267" s="30"/>
      <c r="M267" s="30"/>
      <c r="N267" s="36">
        <v>200994.95</v>
      </c>
      <c r="O267" s="37">
        <v>208948.79</v>
      </c>
      <c r="P267" s="37">
        <v>0</v>
      </c>
      <c r="Q267" s="37">
        <v>208948.79</v>
      </c>
      <c r="R267" s="37">
        <v>0</v>
      </c>
      <c r="S267" s="37">
        <v>208948.79</v>
      </c>
      <c r="T267" s="37">
        <v>0</v>
      </c>
      <c r="U267" s="36">
        <v>0</v>
      </c>
      <c r="V267" s="36">
        <v>0</v>
      </c>
      <c r="W267" s="2"/>
    </row>
    <row r="268" spans="1:23" outlineLevel="1">
      <c r="A268" s="29" t="s">
        <v>125</v>
      </c>
      <c r="B268" s="30" t="s">
        <v>28</v>
      </c>
      <c r="C268" s="30" t="s">
        <v>126</v>
      </c>
      <c r="D268" s="30" t="s">
        <v>4</v>
      </c>
      <c r="E268" s="30" t="s">
        <v>5</v>
      </c>
      <c r="F268" s="30" t="s">
        <v>6</v>
      </c>
      <c r="G268" s="30" t="s">
        <v>6</v>
      </c>
      <c r="H268" s="30"/>
      <c r="I268" s="30"/>
      <c r="J268" s="30"/>
      <c r="K268" s="30"/>
      <c r="L268" s="30"/>
      <c r="M268" s="30"/>
      <c r="N268" s="36">
        <f>N269+N272</f>
        <v>344804.93</v>
      </c>
      <c r="O268" s="36">
        <f t="shared" ref="O268:V268" si="112">O269+O272</f>
        <v>116973.4</v>
      </c>
      <c r="P268" s="36">
        <f t="shared" si="112"/>
        <v>0</v>
      </c>
      <c r="Q268" s="36">
        <f t="shared" si="112"/>
        <v>116973.4</v>
      </c>
      <c r="R268" s="36">
        <f t="shared" si="112"/>
        <v>0</v>
      </c>
      <c r="S268" s="36">
        <f t="shared" si="112"/>
        <v>116973.4</v>
      </c>
      <c r="T268" s="36">
        <f t="shared" si="112"/>
        <v>0</v>
      </c>
      <c r="U268" s="36">
        <f t="shared" si="112"/>
        <v>288000</v>
      </c>
      <c r="V268" s="36">
        <f t="shared" si="112"/>
        <v>288000</v>
      </c>
      <c r="W268" s="2"/>
    </row>
    <row r="269" spans="1:23" outlineLevel="2">
      <c r="A269" s="29" t="s">
        <v>127</v>
      </c>
      <c r="B269" s="30" t="s">
        <v>28</v>
      </c>
      <c r="C269" s="30" t="s">
        <v>126</v>
      </c>
      <c r="D269" s="30" t="s">
        <v>8</v>
      </c>
      <c r="E269" s="30" t="s">
        <v>5</v>
      </c>
      <c r="F269" s="30" t="s">
        <v>6</v>
      </c>
      <c r="G269" s="30" t="s">
        <v>6</v>
      </c>
      <c r="H269" s="30"/>
      <c r="I269" s="30"/>
      <c r="J269" s="30"/>
      <c r="K269" s="30"/>
      <c r="L269" s="30"/>
      <c r="M269" s="30"/>
      <c r="N269" s="36">
        <f>N270</f>
        <v>322212</v>
      </c>
      <c r="O269" s="36">
        <f t="shared" ref="O269:V269" si="113">O270</f>
        <v>108000</v>
      </c>
      <c r="P269" s="36">
        <f t="shared" si="113"/>
        <v>0</v>
      </c>
      <c r="Q269" s="36">
        <f t="shared" si="113"/>
        <v>108000</v>
      </c>
      <c r="R269" s="36">
        <f t="shared" si="113"/>
        <v>0</v>
      </c>
      <c r="S269" s="36">
        <f t="shared" si="113"/>
        <v>108000</v>
      </c>
      <c r="T269" s="36">
        <f t="shared" si="113"/>
        <v>0</v>
      </c>
      <c r="U269" s="36">
        <f t="shared" si="113"/>
        <v>288000</v>
      </c>
      <c r="V269" s="36">
        <f t="shared" si="113"/>
        <v>288000</v>
      </c>
      <c r="W269" s="2"/>
    </row>
    <row r="270" spans="1:23" ht="30" outlineLevel="3">
      <c r="A270" s="29" t="s">
        <v>260</v>
      </c>
      <c r="B270" s="30" t="s">
        <v>28</v>
      </c>
      <c r="C270" s="30" t="s">
        <v>126</v>
      </c>
      <c r="D270" s="30" t="s">
        <v>8</v>
      </c>
      <c r="E270" s="30" t="s">
        <v>128</v>
      </c>
      <c r="F270" s="30" t="s">
        <v>6</v>
      </c>
      <c r="G270" s="30" t="s">
        <v>6</v>
      </c>
      <c r="H270" s="30"/>
      <c r="I270" s="30"/>
      <c r="J270" s="30"/>
      <c r="K270" s="30"/>
      <c r="L270" s="30"/>
      <c r="M270" s="30"/>
      <c r="N270" s="36">
        <f>N271</f>
        <v>322212</v>
      </c>
      <c r="O270" s="36">
        <f t="shared" ref="O270:V270" si="114">O271</f>
        <v>108000</v>
      </c>
      <c r="P270" s="36">
        <f t="shared" si="114"/>
        <v>0</v>
      </c>
      <c r="Q270" s="36">
        <f t="shared" si="114"/>
        <v>108000</v>
      </c>
      <c r="R270" s="36">
        <f t="shared" si="114"/>
        <v>0</v>
      </c>
      <c r="S270" s="36">
        <f t="shared" si="114"/>
        <v>108000</v>
      </c>
      <c r="T270" s="36">
        <f t="shared" si="114"/>
        <v>0</v>
      </c>
      <c r="U270" s="36">
        <f t="shared" si="114"/>
        <v>288000</v>
      </c>
      <c r="V270" s="36">
        <f t="shared" si="114"/>
        <v>288000</v>
      </c>
      <c r="W270" s="2"/>
    </row>
    <row r="271" spans="1:23" outlineLevel="5">
      <c r="A271" s="29" t="s">
        <v>203</v>
      </c>
      <c r="B271" s="30" t="s">
        <v>28</v>
      </c>
      <c r="C271" s="30" t="s">
        <v>126</v>
      </c>
      <c r="D271" s="30" t="s">
        <v>8</v>
      </c>
      <c r="E271" s="30" t="s">
        <v>128</v>
      </c>
      <c r="F271" s="30" t="s">
        <v>26</v>
      </c>
      <c r="G271" s="30" t="s">
        <v>6</v>
      </c>
      <c r="H271" s="30"/>
      <c r="I271" s="30"/>
      <c r="J271" s="30"/>
      <c r="K271" s="30"/>
      <c r="L271" s="30"/>
      <c r="M271" s="30"/>
      <c r="N271" s="36">
        <f>288000+30000+4212</f>
        <v>322212</v>
      </c>
      <c r="O271" s="37">
        <v>108000</v>
      </c>
      <c r="P271" s="37">
        <v>0</v>
      </c>
      <c r="Q271" s="37">
        <v>108000</v>
      </c>
      <c r="R271" s="37">
        <v>0</v>
      </c>
      <c r="S271" s="37">
        <v>108000</v>
      </c>
      <c r="T271" s="37">
        <v>0</v>
      </c>
      <c r="U271" s="36">
        <v>288000</v>
      </c>
      <c r="V271" s="36">
        <v>288000</v>
      </c>
      <c r="W271" s="2"/>
    </row>
    <row r="272" spans="1:23" outlineLevel="2">
      <c r="A272" s="29" t="s">
        <v>129</v>
      </c>
      <c r="B272" s="30" t="s">
        <v>28</v>
      </c>
      <c r="C272" s="30" t="s">
        <v>126</v>
      </c>
      <c r="D272" s="30" t="s">
        <v>10</v>
      </c>
      <c r="E272" s="30" t="s">
        <v>5</v>
      </c>
      <c r="F272" s="30" t="s">
        <v>6</v>
      </c>
      <c r="G272" s="30" t="s">
        <v>6</v>
      </c>
      <c r="H272" s="30"/>
      <c r="I272" s="30"/>
      <c r="J272" s="30"/>
      <c r="K272" s="30"/>
      <c r="L272" s="30"/>
      <c r="M272" s="30"/>
      <c r="N272" s="36">
        <f>N275+N273</f>
        <v>22592.93</v>
      </c>
      <c r="O272" s="37">
        <v>8973.4</v>
      </c>
      <c r="P272" s="37">
        <v>0</v>
      </c>
      <c r="Q272" s="37">
        <v>8973.4</v>
      </c>
      <c r="R272" s="37">
        <v>0</v>
      </c>
      <c r="S272" s="37">
        <v>8973.4</v>
      </c>
      <c r="T272" s="37">
        <v>0</v>
      </c>
      <c r="U272" s="36">
        <v>0</v>
      </c>
      <c r="V272" s="36">
        <v>0</v>
      </c>
      <c r="W272" s="2"/>
    </row>
    <row r="273" spans="1:23" ht="30" outlineLevel="2">
      <c r="A273" s="78" t="s">
        <v>298</v>
      </c>
      <c r="B273" s="30" t="s">
        <v>28</v>
      </c>
      <c r="C273" s="30" t="s">
        <v>126</v>
      </c>
      <c r="D273" s="30" t="s">
        <v>10</v>
      </c>
      <c r="E273" s="33" t="s">
        <v>52</v>
      </c>
      <c r="F273" s="30" t="s">
        <v>6</v>
      </c>
      <c r="G273" s="30"/>
      <c r="H273" s="30"/>
      <c r="I273" s="30"/>
      <c r="J273" s="30"/>
      <c r="K273" s="30"/>
      <c r="L273" s="30"/>
      <c r="M273" s="30"/>
      <c r="N273" s="36">
        <f>N274</f>
        <v>20000</v>
      </c>
      <c r="O273" s="36">
        <f t="shared" ref="O273:V273" si="115">O274</f>
        <v>0</v>
      </c>
      <c r="P273" s="36">
        <f t="shared" si="115"/>
        <v>0</v>
      </c>
      <c r="Q273" s="36">
        <f t="shared" si="115"/>
        <v>0</v>
      </c>
      <c r="R273" s="36">
        <f t="shared" si="115"/>
        <v>0</v>
      </c>
      <c r="S273" s="36">
        <f t="shared" si="115"/>
        <v>0</v>
      </c>
      <c r="T273" s="36">
        <f t="shared" si="115"/>
        <v>0</v>
      </c>
      <c r="U273" s="36">
        <f t="shared" si="115"/>
        <v>0</v>
      </c>
      <c r="V273" s="36">
        <f t="shared" si="115"/>
        <v>0</v>
      </c>
      <c r="W273" s="2"/>
    </row>
    <row r="274" spans="1:23" outlineLevel="2">
      <c r="A274" s="77" t="s">
        <v>203</v>
      </c>
      <c r="B274" s="30" t="s">
        <v>28</v>
      </c>
      <c r="C274" s="30" t="s">
        <v>126</v>
      </c>
      <c r="D274" s="30" t="s">
        <v>10</v>
      </c>
      <c r="E274" s="33" t="s">
        <v>52</v>
      </c>
      <c r="F274" s="30">
        <v>300</v>
      </c>
      <c r="G274" s="30"/>
      <c r="H274" s="30"/>
      <c r="I274" s="30"/>
      <c r="J274" s="30"/>
      <c r="K274" s="30"/>
      <c r="L274" s="30"/>
      <c r="M274" s="30"/>
      <c r="N274" s="36">
        <v>20000</v>
      </c>
      <c r="O274" s="37"/>
      <c r="P274" s="37"/>
      <c r="Q274" s="37"/>
      <c r="R274" s="37"/>
      <c r="S274" s="37"/>
      <c r="T274" s="37"/>
      <c r="U274" s="36">
        <v>0</v>
      </c>
      <c r="V274" s="36">
        <v>0</v>
      </c>
      <c r="W274" s="2"/>
    </row>
    <row r="275" spans="1:23" ht="60" outlineLevel="3">
      <c r="A275" s="29" t="s">
        <v>261</v>
      </c>
      <c r="B275" s="30" t="s">
        <v>28</v>
      </c>
      <c r="C275" s="30" t="s">
        <v>126</v>
      </c>
      <c r="D275" s="30" t="s">
        <v>10</v>
      </c>
      <c r="E275" s="33" t="s">
        <v>240</v>
      </c>
      <c r="F275" s="30" t="s">
        <v>6</v>
      </c>
      <c r="G275" s="30" t="s">
        <v>6</v>
      </c>
      <c r="H275" s="30"/>
      <c r="I275" s="30"/>
      <c r="J275" s="30"/>
      <c r="K275" s="30"/>
      <c r="L275" s="30"/>
      <c r="M275" s="30"/>
      <c r="N275" s="36">
        <f>N276</f>
        <v>2592.9299999999998</v>
      </c>
      <c r="O275" s="37">
        <v>8973.4</v>
      </c>
      <c r="P275" s="37">
        <v>0</v>
      </c>
      <c r="Q275" s="37">
        <v>8973.4</v>
      </c>
      <c r="R275" s="37">
        <v>0</v>
      </c>
      <c r="S275" s="37">
        <v>8973.4</v>
      </c>
      <c r="T275" s="37">
        <v>0</v>
      </c>
      <c r="U275" s="36">
        <v>0</v>
      </c>
      <c r="V275" s="36">
        <v>0</v>
      </c>
      <c r="W275" s="2"/>
    </row>
    <row r="276" spans="1:23" outlineLevel="5">
      <c r="A276" s="29" t="s">
        <v>39</v>
      </c>
      <c r="B276" s="30" t="s">
        <v>28</v>
      </c>
      <c r="C276" s="30" t="s">
        <v>126</v>
      </c>
      <c r="D276" s="30" t="s">
        <v>10</v>
      </c>
      <c r="E276" s="33" t="s">
        <v>240</v>
      </c>
      <c r="F276" s="30" t="s">
        <v>40</v>
      </c>
      <c r="G276" s="30" t="s">
        <v>6</v>
      </c>
      <c r="H276" s="30"/>
      <c r="I276" s="30"/>
      <c r="J276" s="30"/>
      <c r="K276" s="30"/>
      <c r="L276" s="30"/>
      <c r="M276" s="30"/>
      <c r="N276" s="36">
        <v>2592.9299999999998</v>
      </c>
      <c r="O276" s="37">
        <v>8973.4</v>
      </c>
      <c r="P276" s="37">
        <v>0</v>
      </c>
      <c r="Q276" s="37">
        <v>8973.4</v>
      </c>
      <c r="R276" s="37">
        <v>0</v>
      </c>
      <c r="S276" s="37">
        <v>8973.4</v>
      </c>
      <c r="T276" s="37">
        <v>0</v>
      </c>
      <c r="U276" s="36">
        <v>0</v>
      </c>
      <c r="V276" s="36">
        <v>0</v>
      </c>
      <c r="W276" s="2"/>
    </row>
    <row r="277" spans="1:23" outlineLevel="1">
      <c r="A277" s="29" t="s">
        <v>130</v>
      </c>
      <c r="B277" s="30" t="s">
        <v>28</v>
      </c>
      <c r="C277" s="30" t="s">
        <v>50</v>
      </c>
      <c r="D277" s="30" t="s">
        <v>4</v>
      </c>
      <c r="E277" s="30" t="s">
        <v>5</v>
      </c>
      <c r="F277" s="30" t="s">
        <v>6</v>
      </c>
      <c r="G277" s="30" t="s">
        <v>6</v>
      </c>
      <c r="H277" s="30"/>
      <c r="I277" s="30"/>
      <c r="J277" s="30"/>
      <c r="K277" s="30"/>
      <c r="L277" s="30"/>
      <c r="M277" s="30"/>
      <c r="N277" s="36">
        <f t="shared" ref="N277:V277" si="116">N278+N283</f>
        <v>10526715.789999999</v>
      </c>
      <c r="O277" s="36">
        <f t="shared" si="116"/>
        <v>6076070</v>
      </c>
      <c r="P277" s="36">
        <f t="shared" si="116"/>
        <v>0</v>
      </c>
      <c r="Q277" s="36">
        <f t="shared" si="116"/>
        <v>6076070</v>
      </c>
      <c r="R277" s="36">
        <f t="shared" si="116"/>
        <v>0</v>
      </c>
      <c r="S277" s="36">
        <f t="shared" si="116"/>
        <v>6076070</v>
      </c>
      <c r="T277" s="36">
        <f t="shared" si="116"/>
        <v>0</v>
      </c>
      <c r="U277" s="36">
        <f t="shared" si="116"/>
        <v>8245200</v>
      </c>
      <c r="V277" s="36">
        <f t="shared" si="116"/>
        <v>8234700</v>
      </c>
      <c r="W277" s="2"/>
    </row>
    <row r="278" spans="1:23" outlineLevel="2">
      <c r="A278" s="29" t="s">
        <v>131</v>
      </c>
      <c r="B278" s="30" t="s">
        <v>28</v>
      </c>
      <c r="C278" s="30" t="s">
        <v>50</v>
      </c>
      <c r="D278" s="30" t="s">
        <v>8</v>
      </c>
      <c r="E278" s="30" t="s">
        <v>5</v>
      </c>
      <c r="F278" s="30" t="s">
        <v>6</v>
      </c>
      <c r="G278" s="30" t="s">
        <v>6</v>
      </c>
      <c r="H278" s="30"/>
      <c r="I278" s="30"/>
      <c r="J278" s="30"/>
      <c r="K278" s="30"/>
      <c r="L278" s="30"/>
      <c r="M278" s="30"/>
      <c r="N278" s="36">
        <f>N279+N281</f>
        <v>10526715.789999999</v>
      </c>
      <c r="O278" s="36">
        <f t="shared" ref="O278:V278" si="117">O279+O281</f>
        <v>6072470</v>
      </c>
      <c r="P278" s="36">
        <f t="shared" si="117"/>
        <v>0</v>
      </c>
      <c r="Q278" s="36">
        <f t="shared" si="117"/>
        <v>6072470</v>
      </c>
      <c r="R278" s="36">
        <f t="shared" si="117"/>
        <v>0</v>
      </c>
      <c r="S278" s="36">
        <f t="shared" si="117"/>
        <v>6072470</v>
      </c>
      <c r="T278" s="36">
        <f t="shared" si="117"/>
        <v>0</v>
      </c>
      <c r="U278" s="36">
        <f t="shared" si="117"/>
        <v>8238000</v>
      </c>
      <c r="V278" s="36">
        <f t="shared" si="117"/>
        <v>8227500</v>
      </c>
      <c r="W278" s="2"/>
    </row>
    <row r="279" spans="1:23" ht="32.25" customHeight="1" outlineLevel="3">
      <c r="A279" s="29" t="s">
        <v>132</v>
      </c>
      <c r="B279" s="30" t="s">
        <v>28</v>
      </c>
      <c r="C279" s="30" t="s">
        <v>50</v>
      </c>
      <c r="D279" s="30" t="s">
        <v>8</v>
      </c>
      <c r="E279" s="30" t="s">
        <v>133</v>
      </c>
      <c r="F279" s="30" t="s">
        <v>6</v>
      </c>
      <c r="G279" s="30" t="s">
        <v>6</v>
      </c>
      <c r="H279" s="30"/>
      <c r="I279" s="30"/>
      <c r="J279" s="30"/>
      <c r="K279" s="30"/>
      <c r="L279" s="30"/>
      <c r="M279" s="30"/>
      <c r="N279" s="36">
        <f>N280</f>
        <v>10000400</v>
      </c>
      <c r="O279" s="36">
        <f t="shared" ref="O279:V279" si="118">O280</f>
        <v>6072470</v>
      </c>
      <c r="P279" s="36">
        <f t="shared" si="118"/>
        <v>0</v>
      </c>
      <c r="Q279" s="36">
        <f t="shared" si="118"/>
        <v>6072470</v>
      </c>
      <c r="R279" s="36">
        <f t="shared" si="118"/>
        <v>0</v>
      </c>
      <c r="S279" s="36">
        <f t="shared" si="118"/>
        <v>6072470</v>
      </c>
      <c r="T279" s="36">
        <f t="shared" si="118"/>
        <v>0</v>
      </c>
      <c r="U279" s="36">
        <f t="shared" si="118"/>
        <v>8238000</v>
      </c>
      <c r="V279" s="36">
        <f t="shared" si="118"/>
        <v>8227500</v>
      </c>
      <c r="W279" s="2"/>
    </row>
    <row r="280" spans="1:23" ht="36.75" customHeight="1" outlineLevel="5">
      <c r="A280" s="29" t="s">
        <v>209</v>
      </c>
      <c r="B280" s="30" t="s">
        <v>28</v>
      </c>
      <c r="C280" s="30" t="s">
        <v>50</v>
      </c>
      <c r="D280" s="30" t="s">
        <v>8</v>
      </c>
      <c r="E280" s="30" t="s">
        <v>133</v>
      </c>
      <c r="F280" s="30" t="s">
        <v>120</v>
      </c>
      <c r="G280" s="30" t="s">
        <v>6</v>
      </c>
      <c r="H280" s="30"/>
      <c r="I280" s="30"/>
      <c r="J280" s="30"/>
      <c r="K280" s="30"/>
      <c r="L280" s="30"/>
      <c r="M280" s="30"/>
      <c r="N280" s="36">
        <f>8837500+162900+1000000</f>
        <v>10000400</v>
      </c>
      <c r="O280" s="37">
        <v>6072470</v>
      </c>
      <c r="P280" s="37">
        <v>0</v>
      </c>
      <c r="Q280" s="37">
        <v>6072470</v>
      </c>
      <c r="R280" s="37">
        <v>0</v>
      </c>
      <c r="S280" s="37">
        <v>6072470</v>
      </c>
      <c r="T280" s="37">
        <v>0</v>
      </c>
      <c r="U280" s="36">
        <v>8238000</v>
      </c>
      <c r="V280" s="36">
        <v>8227500</v>
      </c>
      <c r="W280" s="2"/>
    </row>
    <row r="281" spans="1:23" ht="36.75" customHeight="1" outlineLevel="5">
      <c r="A281" s="29" t="s">
        <v>295</v>
      </c>
      <c r="B281" s="30" t="s">
        <v>28</v>
      </c>
      <c r="C281" s="30" t="s">
        <v>50</v>
      </c>
      <c r="D281" s="30" t="s">
        <v>8</v>
      </c>
      <c r="E281" s="30" t="s">
        <v>294</v>
      </c>
      <c r="F281" s="30" t="s">
        <v>6</v>
      </c>
      <c r="G281" s="30"/>
      <c r="H281" s="30"/>
      <c r="I281" s="30"/>
      <c r="J281" s="30"/>
      <c r="K281" s="30"/>
      <c r="L281" s="30"/>
      <c r="M281" s="30"/>
      <c r="N281" s="36">
        <f>N282</f>
        <v>526315.79</v>
      </c>
      <c r="O281" s="36">
        <f t="shared" ref="O281:V281" si="119">O282</f>
        <v>0</v>
      </c>
      <c r="P281" s="36">
        <f t="shared" si="119"/>
        <v>0</v>
      </c>
      <c r="Q281" s="36">
        <f t="shared" si="119"/>
        <v>0</v>
      </c>
      <c r="R281" s="36">
        <f t="shared" si="119"/>
        <v>0</v>
      </c>
      <c r="S281" s="36">
        <f t="shared" si="119"/>
        <v>0</v>
      </c>
      <c r="T281" s="36">
        <f t="shared" si="119"/>
        <v>0</v>
      </c>
      <c r="U281" s="36">
        <f t="shared" si="119"/>
        <v>0</v>
      </c>
      <c r="V281" s="36">
        <f t="shared" si="119"/>
        <v>0</v>
      </c>
      <c r="W281" s="2"/>
    </row>
    <row r="282" spans="1:23" ht="36.75" customHeight="1" outlineLevel="5">
      <c r="A282" s="29" t="s">
        <v>209</v>
      </c>
      <c r="B282" s="30" t="s">
        <v>28</v>
      </c>
      <c r="C282" s="30" t="s">
        <v>50</v>
      </c>
      <c r="D282" s="30" t="s">
        <v>8</v>
      </c>
      <c r="E282" s="30" t="s">
        <v>294</v>
      </c>
      <c r="F282" s="30">
        <v>600</v>
      </c>
      <c r="G282" s="30"/>
      <c r="H282" s="30"/>
      <c r="I282" s="30"/>
      <c r="J282" s="30"/>
      <c r="K282" s="30"/>
      <c r="L282" s="30"/>
      <c r="M282" s="30"/>
      <c r="N282" s="36">
        <v>526315.79</v>
      </c>
      <c r="O282" s="37"/>
      <c r="P282" s="37"/>
      <c r="Q282" s="37"/>
      <c r="R282" s="37"/>
      <c r="S282" s="37"/>
      <c r="T282" s="37"/>
      <c r="U282" s="36">
        <v>0</v>
      </c>
      <c r="V282" s="36">
        <v>0</v>
      </c>
      <c r="W282" s="2"/>
    </row>
    <row r="283" spans="1:23" ht="30" outlineLevel="2">
      <c r="A283" s="29" t="s">
        <v>134</v>
      </c>
      <c r="B283" s="30" t="s">
        <v>28</v>
      </c>
      <c r="C283" s="30" t="s">
        <v>50</v>
      </c>
      <c r="D283" s="30" t="s">
        <v>47</v>
      </c>
      <c r="E283" s="30" t="s">
        <v>5</v>
      </c>
      <c r="F283" s="30" t="s">
        <v>6</v>
      </c>
      <c r="G283" s="30" t="s">
        <v>6</v>
      </c>
      <c r="H283" s="30"/>
      <c r="I283" s="30"/>
      <c r="J283" s="30"/>
      <c r="K283" s="30"/>
      <c r="L283" s="30"/>
      <c r="M283" s="30"/>
      <c r="N283" s="36">
        <f>N284</f>
        <v>0</v>
      </c>
      <c r="O283" s="36">
        <f t="shared" ref="O283:V283" si="120">O284</f>
        <v>3600</v>
      </c>
      <c r="P283" s="36">
        <f t="shared" si="120"/>
        <v>0</v>
      </c>
      <c r="Q283" s="36">
        <f t="shared" si="120"/>
        <v>3600</v>
      </c>
      <c r="R283" s="36">
        <f t="shared" si="120"/>
        <v>0</v>
      </c>
      <c r="S283" s="36">
        <f t="shared" si="120"/>
        <v>3600</v>
      </c>
      <c r="T283" s="36">
        <f t="shared" si="120"/>
        <v>0</v>
      </c>
      <c r="U283" s="36">
        <f t="shared" si="120"/>
        <v>7200</v>
      </c>
      <c r="V283" s="36">
        <f t="shared" si="120"/>
        <v>7200</v>
      </c>
      <c r="W283" s="2"/>
    </row>
    <row r="284" spans="1:23" ht="32.25" customHeight="1" outlineLevel="3">
      <c r="A284" s="29" t="s">
        <v>135</v>
      </c>
      <c r="B284" s="30" t="s">
        <v>28</v>
      </c>
      <c r="C284" s="30" t="s">
        <v>50</v>
      </c>
      <c r="D284" s="30" t="s">
        <v>47</v>
      </c>
      <c r="E284" s="30" t="s">
        <v>136</v>
      </c>
      <c r="F284" s="30" t="s">
        <v>6</v>
      </c>
      <c r="G284" s="30" t="s">
        <v>6</v>
      </c>
      <c r="H284" s="30"/>
      <c r="I284" s="30"/>
      <c r="J284" s="30"/>
      <c r="K284" s="30"/>
      <c r="L284" s="30"/>
      <c r="M284" s="30"/>
      <c r="N284" s="36">
        <f>N285</f>
        <v>0</v>
      </c>
      <c r="O284" s="36">
        <f t="shared" ref="O284:V284" si="121">O285</f>
        <v>3600</v>
      </c>
      <c r="P284" s="36">
        <f t="shared" si="121"/>
        <v>0</v>
      </c>
      <c r="Q284" s="36">
        <f t="shared" si="121"/>
        <v>3600</v>
      </c>
      <c r="R284" s="36">
        <f t="shared" si="121"/>
        <v>0</v>
      </c>
      <c r="S284" s="36">
        <f t="shared" si="121"/>
        <v>3600</v>
      </c>
      <c r="T284" s="36">
        <f t="shared" si="121"/>
        <v>0</v>
      </c>
      <c r="U284" s="36">
        <f t="shared" si="121"/>
        <v>7200</v>
      </c>
      <c r="V284" s="36">
        <f t="shared" si="121"/>
        <v>7200</v>
      </c>
      <c r="W284" s="2"/>
    </row>
    <row r="285" spans="1:23" ht="30" outlineLevel="3">
      <c r="A285" s="29" t="s">
        <v>201</v>
      </c>
      <c r="B285" s="30" t="s">
        <v>28</v>
      </c>
      <c r="C285" s="30" t="s">
        <v>50</v>
      </c>
      <c r="D285" s="30" t="s">
        <v>47</v>
      </c>
      <c r="E285" s="30" t="s">
        <v>136</v>
      </c>
      <c r="F285" s="30" t="s">
        <v>15</v>
      </c>
      <c r="G285" s="30" t="s">
        <v>6</v>
      </c>
      <c r="H285" s="30"/>
      <c r="I285" s="30"/>
      <c r="J285" s="30"/>
      <c r="K285" s="30"/>
      <c r="L285" s="30"/>
      <c r="M285" s="30"/>
      <c r="N285" s="36">
        <f>N286</f>
        <v>0</v>
      </c>
      <c r="O285" s="36">
        <f t="shared" ref="O285:V285" si="122">O286</f>
        <v>3600</v>
      </c>
      <c r="P285" s="36">
        <f t="shared" si="122"/>
        <v>0</v>
      </c>
      <c r="Q285" s="36">
        <f t="shared" si="122"/>
        <v>3600</v>
      </c>
      <c r="R285" s="36">
        <f t="shared" si="122"/>
        <v>0</v>
      </c>
      <c r="S285" s="36">
        <f t="shared" si="122"/>
        <v>3600</v>
      </c>
      <c r="T285" s="36">
        <f t="shared" si="122"/>
        <v>0</v>
      </c>
      <c r="U285" s="36">
        <f t="shared" si="122"/>
        <v>7200</v>
      </c>
      <c r="V285" s="36">
        <f t="shared" si="122"/>
        <v>7200</v>
      </c>
      <c r="W285" s="2"/>
    </row>
    <row r="286" spans="1:23" outlineLevel="5">
      <c r="A286" s="38" t="s">
        <v>153</v>
      </c>
      <c r="B286" s="39" t="s">
        <v>28</v>
      </c>
      <c r="C286" s="39" t="s">
        <v>50</v>
      </c>
      <c r="D286" s="39" t="s">
        <v>47</v>
      </c>
      <c r="E286" s="39" t="s">
        <v>136</v>
      </c>
      <c r="F286" s="39" t="s">
        <v>15</v>
      </c>
      <c r="G286" s="39" t="s">
        <v>6</v>
      </c>
      <c r="H286" s="39" t="s">
        <v>140</v>
      </c>
      <c r="I286" s="39"/>
      <c r="J286" s="39"/>
      <c r="K286" s="39"/>
      <c r="L286" s="39"/>
      <c r="M286" s="39"/>
      <c r="N286" s="40">
        <f>7200-7200</f>
        <v>0</v>
      </c>
      <c r="O286" s="41">
        <v>3600</v>
      </c>
      <c r="P286" s="41">
        <v>0</v>
      </c>
      <c r="Q286" s="41">
        <v>3600</v>
      </c>
      <c r="R286" s="41">
        <v>0</v>
      </c>
      <c r="S286" s="41">
        <v>3600</v>
      </c>
      <c r="T286" s="41">
        <v>0</v>
      </c>
      <c r="U286" s="40">
        <v>7200</v>
      </c>
      <c r="V286" s="40">
        <v>7200</v>
      </c>
      <c r="W286" s="2"/>
    </row>
    <row r="287" spans="1:23" ht="19.5" customHeight="1">
      <c r="A287" s="99" t="s">
        <v>137</v>
      </c>
      <c r="B287" s="99"/>
      <c r="C287" s="99"/>
      <c r="D287" s="99"/>
      <c r="E287" s="99"/>
      <c r="F287" s="99"/>
      <c r="G287" s="99"/>
      <c r="H287" s="99"/>
      <c r="I287" s="99"/>
      <c r="J287" s="42"/>
      <c r="K287" s="42"/>
      <c r="L287" s="42"/>
      <c r="M287" s="42"/>
      <c r="N287" s="43">
        <f t="shared" ref="N287:V287" si="123">N9+N28</f>
        <v>399265259.78000009</v>
      </c>
      <c r="O287" s="43">
        <f t="shared" si="123"/>
        <v>41880653.189999998</v>
      </c>
      <c r="P287" s="43">
        <f t="shared" si="123"/>
        <v>0</v>
      </c>
      <c r="Q287" s="43">
        <f t="shared" si="123"/>
        <v>41880653.189999998</v>
      </c>
      <c r="R287" s="43">
        <f t="shared" si="123"/>
        <v>0</v>
      </c>
      <c r="S287" s="43">
        <f t="shared" si="123"/>
        <v>41880653.189999998</v>
      </c>
      <c r="T287" s="43">
        <f t="shared" si="123"/>
        <v>0</v>
      </c>
      <c r="U287" s="43">
        <f t="shared" si="123"/>
        <v>85059180.799999997</v>
      </c>
      <c r="V287" s="43">
        <f t="shared" si="123"/>
        <v>83081231.280000001</v>
      </c>
      <c r="W287" s="2"/>
    </row>
    <row r="288" spans="1:23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2"/>
    </row>
    <row r="289" spans="1:22">
      <c r="A289" s="100" t="s">
        <v>156</v>
      </c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</row>
    <row r="290" spans="1:22" ht="15" customHeight="1">
      <c r="A290" s="84"/>
      <c r="B290" s="85"/>
      <c r="C290" s="85"/>
      <c r="D290" s="85"/>
      <c r="E290" s="85"/>
      <c r="F290" s="85"/>
      <c r="G290" s="86"/>
      <c r="H290" s="86"/>
      <c r="I290" s="86"/>
      <c r="J290" s="8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</row>
    <row r="291" spans="1:22" ht="15" customHeight="1">
      <c r="A291" s="101" t="s">
        <v>157</v>
      </c>
      <c r="B291" s="104" t="s">
        <v>158</v>
      </c>
      <c r="C291" s="105"/>
      <c r="D291" s="105"/>
      <c r="E291" s="105"/>
      <c r="F291" s="106"/>
      <c r="G291" s="13" t="s">
        <v>159</v>
      </c>
      <c r="H291" s="116" t="s">
        <v>159</v>
      </c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8"/>
      <c r="V291" s="26"/>
    </row>
    <row r="292" spans="1:22">
      <c r="A292" s="102"/>
      <c r="B292" s="107" t="s">
        <v>160</v>
      </c>
      <c r="C292" s="109" t="s">
        <v>161</v>
      </c>
      <c r="D292" s="110"/>
      <c r="E292" s="110"/>
      <c r="F292" s="111"/>
      <c r="G292" s="115" t="s">
        <v>188</v>
      </c>
      <c r="H292" s="115"/>
      <c r="I292" s="121" t="s">
        <v>162</v>
      </c>
      <c r="J292" s="121" t="s">
        <v>163</v>
      </c>
      <c r="K292" s="20"/>
      <c r="L292" s="20"/>
      <c r="M292" s="20"/>
      <c r="N292" s="119" t="s">
        <v>228</v>
      </c>
      <c r="O292" s="14"/>
      <c r="P292" s="14"/>
      <c r="Q292" s="14"/>
      <c r="R292" s="14"/>
      <c r="S292" s="14"/>
      <c r="T292" s="14"/>
      <c r="U292" s="119" t="s">
        <v>273</v>
      </c>
      <c r="V292" s="26"/>
    </row>
    <row r="293" spans="1:22">
      <c r="A293" s="103"/>
      <c r="B293" s="108"/>
      <c r="C293" s="112"/>
      <c r="D293" s="113"/>
      <c r="E293" s="113"/>
      <c r="F293" s="114"/>
      <c r="G293" s="115"/>
      <c r="H293" s="115"/>
      <c r="I293" s="121"/>
      <c r="J293" s="121"/>
      <c r="K293" s="20"/>
      <c r="L293" s="20"/>
      <c r="M293" s="20"/>
      <c r="N293" s="120"/>
      <c r="O293" s="14"/>
      <c r="P293" s="14"/>
      <c r="Q293" s="14"/>
      <c r="R293" s="14"/>
      <c r="S293" s="14"/>
      <c r="T293" s="14"/>
      <c r="U293" s="120"/>
      <c r="V293" s="26"/>
    </row>
    <row r="294" spans="1:22" ht="30">
      <c r="A294" s="6" t="s">
        <v>164</v>
      </c>
      <c r="B294" s="7" t="s">
        <v>6</v>
      </c>
      <c r="C294" s="95" t="s">
        <v>165</v>
      </c>
      <c r="D294" s="96"/>
      <c r="E294" s="17" t="s">
        <v>166</v>
      </c>
      <c r="F294" s="8" t="s">
        <v>6</v>
      </c>
      <c r="G294" s="97">
        <v>12023720.640000001</v>
      </c>
      <c r="H294" s="97"/>
      <c r="I294" s="9">
        <v>0</v>
      </c>
      <c r="J294" s="9">
        <v>0</v>
      </c>
      <c r="K294" s="20"/>
      <c r="L294" s="20"/>
      <c r="M294" s="20"/>
      <c r="N294" s="52">
        <v>0</v>
      </c>
      <c r="O294" s="52"/>
      <c r="P294" s="52"/>
      <c r="Q294" s="52"/>
      <c r="R294" s="52"/>
      <c r="S294" s="52"/>
      <c r="T294" s="52"/>
      <c r="U294" s="52">
        <v>0</v>
      </c>
      <c r="V294" s="26"/>
    </row>
    <row r="295" spans="1:22" ht="15" customHeight="1">
      <c r="A295" s="6" t="s">
        <v>167</v>
      </c>
      <c r="B295" s="7" t="s">
        <v>28</v>
      </c>
      <c r="C295" s="95" t="s">
        <v>168</v>
      </c>
      <c r="D295" s="96"/>
      <c r="E295" s="17" t="s">
        <v>166</v>
      </c>
      <c r="F295" s="8" t="s">
        <v>6</v>
      </c>
      <c r="G295" s="97">
        <v>0</v>
      </c>
      <c r="H295" s="97"/>
      <c r="I295" s="9">
        <v>0</v>
      </c>
      <c r="J295" s="9">
        <v>0</v>
      </c>
      <c r="K295" s="20"/>
      <c r="L295" s="20"/>
      <c r="M295" s="20"/>
      <c r="N295" s="52">
        <v>0</v>
      </c>
      <c r="O295" s="52"/>
      <c r="P295" s="52"/>
      <c r="Q295" s="52"/>
      <c r="R295" s="52"/>
      <c r="S295" s="52"/>
      <c r="T295" s="52"/>
      <c r="U295" s="52">
        <v>0</v>
      </c>
      <c r="V295" s="26"/>
    </row>
    <row r="296" spans="1:22">
      <c r="A296" s="6" t="s">
        <v>169</v>
      </c>
      <c r="B296" s="7" t="s">
        <v>28</v>
      </c>
      <c r="C296" s="95" t="s">
        <v>168</v>
      </c>
      <c r="D296" s="96"/>
      <c r="E296" s="17" t="s">
        <v>166</v>
      </c>
      <c r="F296" s="8" t="s">
        <v>40</v>
      </c>
      <c r="G296" s="97">
        <f>G297</f>
        <v>-387241539.13999999</v>
      </c>
      <c r="H296" s="97"/>
      <c r="I296" s="18">
        <v>-67647258</v>
      </c>
      <c r="J296" s="18">
        <v>-64248625</v>
      </c>
      <c r="K296" s="20"/>
      <c r="L296" s="20"/>
      <c r="M296" s="20"/>
      <c r="N296" s="53">
        <f>N297</f>
        <v>-87169380.799999997</v>
      </c>
      <c r="O296" s="20"/>
      <c r="P296" s="20"/>
      <c r="Q296" s="20"/>
      <c r="R296" s="20"/>
      <c r="S296" s="20"/>
      <c r="T296" s="20"/>
      <c r="U296" s="52">
        <f>U297</f>
        <v>-87314531.280000001</v>
      </c>
      <c r="V296" s="26"/>
    </row>
    <row r="297" spans="1:22">
      <c r="A297" s="6" t="s">
        <v>170</v>
      </c>
      <c r="B297" s="7" t="s">
        <v>28</v>
      </c>
      <c r="C297" s="95" t="s">
        <v>171</v>
      </c>
      <c r="D297" s="96"/>
      <c r="E297" s="17" t="s">
        <v>166</v>
      </c>
      <c r="F297" s="8" t="s">
        <v>40</v>
      </c>
      <c r="G297" s="97">
        <f>G298</f>
        <v>-387241539.13999999</v>
      </c>
      <c r="H297" s="97"/>
      <c r="I297" s="18">
        <v>-67647258</v>
      </c>
      <c r="J297" s="18">
        <v>-64248625</v>
      </c>
      <c r="K297" s="20"/>
      <c r="L297" s="20"/>
      <c r="M297" s="20"/>
      <c r="N297" s="53">
        <f>M298</f>
        <v>-87169380.799999997</v>
      </c>
      <c r="O297" s="20"/>
      <c r="P297" s="20"/>
      <c r="Q297" s="20"/>
      <c r="R297" s="20"/>
      <c r="S297" s="20"/>
      <c r="T297" s="20"/>
      <c r="U297" s="20">
        <f>U298</f>
        <v>-87314531.280000001</v>
      </c>
      <c r="V297" s="26"/>
    </row>
    <row r="298" spans="1:22" ht="30">
      <c r="A298" s="6" t="s">
        <v>172</v>
      </c>
      <c r="B298" s="7" t="s">
        <v>28</v>
      </c>
      <c r="C298" s="95" t="s">
        <v>173</v>
      </c>
      <c r="D298" s="96"/>
      <c r="E298" s="17" t="s">
        <v>166</v>
      </c>
      <c r="F298" s="8" t="s">
        <v>174</v>
      </c>
      <c r="G298" s="97">
        <f>G299</f>
        <v>-387241539.13999999</v>
      </c>
      <c r="H298" s="97"/>
      <c r="I298" s="97">
        <f>I299</f>
        <v>-67647258</v>
      </c>
      <c r="J298" s="97"/>
      <c r="K298" s="97">
        <f>K299</f>
        <v>0</v>
      </c>
      <c r="L298" s="97"/>
      <c r="M298" s="97">
        <f>N299</f>
        <v>-87169380.799999997</v>
      </c>
      <c r="N298" s="97"/>
      <c r="O298" s="97">
        <f>O299</f>
        <v>0</v>
      </c>
      <c r="P298" s="97"/>
      <c r="Q298" s="97">
        <f>Q299</f>
        <v>0</v>
      </c>
      <c r="R298" s="97"/>
      <c r="S298" s="97">
        <f>S299</f>
        <v>0</v>
      </c>
      <c r="T298" s="97"/>
      <c r="U298" s="70">
        <f>U299</f>
        <v>-87314531.280000001</v>
      </c>
      <c r="V298" s="26"/>
    </row>
    <row r="299" spans="1:22" ht="30">
      <c r="A299" s="6" t="s">
        <v>175</v>
      </c>
      <c r="B299" s="7" t="s">
        <v>28</v>
      </c>
      <c r="C299" s="95" t="s">
        <v>176</v>
      </c>
      <c r="D299" s="96"/>
      <c r="E299" s="17" t="s">
        <v>166</v>
      </c>
      <c r="F299" s="8" t="s">
        <v>174</v>
      </c>
      <c r="G299" s="123">
        <v>-387241539.13999999</v>
      </c>
      <c r="H299" s="123"/>
      <c r="I299" s="50">
        <v>-67647258</v>
      </c>
      <c r="J299" s="50">
        <v>-64248625</v>
      </c>
      <c r="K299" s="51"/>
      <c r="L299" s="51"/>
      <c r="M299" s="51"/>
      <c r="N299" s="72">
        <v>-87169380.799999997</v>
      </c>
      <c r="O299" s="51"/>
      <c r="P299" s="51"/>
      <c r="Q299" s="51"/>
      <c r="R299" s="51"/>
      <c r="S299" s="51"/>
      <c r="T299" s="51"/>
      <c r="U299" s="71">
        <v>-87314531.280000001</v>
      </c>
      <c r="V299" s="79" t="s">
        <v>301</v>
      </c>
    </row>
    <row r="300" spans="1:22">
      <c r="A300" s="6" t="s">
        <v>177</v>
      </c>
      <c r="B300" s="7" t="s">
        <v>28</v>
      </c>
      <c r="C300" s="95" t="s">
        <v>168</v>
      </c>
      <c r="D300" s="96"/>
      <c r="E300" s="17" t="s">
        <v>166</v>
      </c>
      <c r="F300" s="8" t="s">
        <v>120</v>
      </c>
      <c r="G300" s="97">
        <f>G301</f>
        <v>399265259.77999997</v>
      </c>
      <c r="H300" s="97"/>
      <c r="I300" s="18">
        <v>67647258</v>
      </c>
      <c r="J300" s="18">
        <v>64248625</v>
      </c>
      <c r="K300" s="20"/>
      <c r="L300" s="20"/>
      <c r="M300" s="20"/>
      <c r="N300" s="52">
        <f>N301</f>
        <v>87169380.799999997</v>
      </c>
      <c r="O300" s="20"/>
      <c r="P300" s="20"/>
      <c r="Q300" s="20"/>
      <c r="R300" s="20"/>
      <c r="S300" s="20"/>
      <c r="T300" s="20"/>
      <c r="U300" s="20">
        <f>U301</f>
        <v>87314531.280000001</v>
      </c>
      <c r="V300" s="26"/>
    </row>
    <row r="301" spans="1:22">
      <c r="A301" s="6" t="s">
        <v>178</v>
      </c>
      <c r="B301" s="7" t="s">
        <v>28</v>
      </c>
      <c r="C301" s="95" t="s">
        <v>171</v>
      </c>
      <c r="D301" s="96"/>
      <c r="E301" s="17" t="s">
        <v>166</v>
      </c>
      <c r="F301" s="8" t="s">
        <v>120</v>
      </c>
      <c r="G301" s="97">
        <f>G302</f>
        <v>399265259.77999997</v>
      </c>
      <c r="H301" s="97"/>
      <c r="I301" s="18">
        <v>67647258</v>
      </c>
      <c r="J301" s="18">
        <v>64248625</v>
      </c>
      <c r="K301" s="20"/>
      <c r="L301" s="20"/>
      <c r="M301" s="20"/>
      <c r="N301" s="52">
        <f>N302</f>
        <v>87169380.799999997</v>
      </c>
      <c r="O301" s="20"/>
      <c r="P301" s="20"/>
      <c r="Q301" s="20"/>
      <c r="R301" s="20"/>
      <c r="S301" s="20"/>
      <c r="T301" s="20"/>
      <c r="U301" s="20">
        <f>U302</f>
        <v>87314531.280000001</v>
      </c>
      <c r="V301" s="26"/>
    </row>
    <row r="302" spans="1:22" ht="30">
      <c r="A302" s="6" t="s">
        <v>179</v>
      </c>
      <c r="B302" s="7" t="s">
        <v>28</v>
      </c>
      <c r="C302" s="95" t="s">
        <v>173</v>
      </c>
      <c r="D302" s="96"/>
      <c r="E302" s="17" t="s">
        <v>166</v>
      </c>
      <c r="F302" s="8" t="s">
        <v>180</v>
      </c>
      <c r="G302" s="97">
        <f>G303</f>
        <v>399265259.77999997</v>
      </c>
      <c r="H302" s="97"/>
      <c r="I302" s="18">
        <v>67647258</v>
      </c>
      <c r="J302" s="18">
        <v>64248625</v>
      </c>
      <c r="K302" s="20"/>
      <c r="L302" s="20"/>
      <c r="M302" s="20"/>
      <c r="N302" s="61">
        <f>N303</f>
        <v>87169380.799999997</v>
      </c>
      <c r="O302" s="62"/>
      <c r="P302" s="62"/>
      <c r="Q302" s="62"/>
      <c r="R302" s="62"/>
      <c r="S302" s="62"/>
      <c r="T302" s="62"/>
      <c r="U302" s="62">
        <f>U303</f>
        <v>87314531.280000001</v>
      </c>
      <c r="V302" s="26"/>
    </row>
    <row r="303" spans="1:22" ht="30">
      <c r="A303" s="6" t="s">
        <v>181</v>
      </c>
      <c r="B303" s="7" t="s">
        <v>28</v>
      </c>
      <c r="C303" s="95" t="s">
        <v>176</v>
      </c>
      <c r="D303" s="96"/>
      <c r="E303" s="17" t="s">
        <v>166</v>
      </c>
      <c r="F303" s="8" t="s">
        <v>180</v>
      </c>
      <c r="G303" s="98">
        <v>399265259.77999997</v>
      </c>
      <c r="H303" s="98"/>
      <c r="I303" s="49">
        <v>67647258</v>
      </c>
      <c r="J303" s="49">
        <v>64248625</v>
      </c>
      <c r="K303" s="14"/>
      <c r="L303" s="14"/>
      <c r="M303" s="14"/>
      <c r="N303" s="63">
        <v>87169380.799999997</v>
      </c>
      <c r="O303" s="14"/>
      <c r="P303" s="14"/>
      <c r="Q303" s="14"/>
      <c r="R303" s="14"/>
      <c r="S303" s="14"/>
      <c r="T303" s="14"/>
      <c r="U303" s="64">
        <v>87314531.280000001</v>
      </c>
      <c r="V303" s="26"/>
    </row>
    <row r="304" spans="1:22" ht="30">
      <c r="A304" s="6" t="s">
        <v>182</v>
      </c>
      <c r="B304" s="7" t="s">
        <v>28</v>
      </c>
      <c r="C304" s="95" t="s">
        <v>183</v>
      </c>
      <c r="D304" s="96"/>
      <c r="E304" s="17" t="s">
        <v>166</v>
      </c>
      <c r="F304" s="8" t="s">
        <v>6</v>
      </c>
      <c r="G304" s="97">
        <v>0</v>
      </c>
      <c r="H304" s="97"/>
      <c r="I304" s="9">
        <v>0</v>
      </c>
      <c r="J304" s="9">
        <v>0</v>
      </c>
      <c r="K304" s="20"/>
      <c r="L304" s="20"/>
      <c r="M304" s="20"/>
      <c r="N304" s="61">
        <v>0</v>
      </c>
      <c r="O304" s="61"/>
      <c r="P304" s="61"/>
      <c r="Q304" s="61"/>
      <c r="R304" s="61"/>
      <c r="S304" s="61"/>
      <c r="T304" s="61"/>
      <c r="U304" s="61">
        <v>0</v>
      </c>
      <c r="V304" s="26"/>
    </row>
    <row r="305" spans="1:22" ht="105">
      <c r="A305" s="6" t="s">
        <v>184</v>
      </c>
      <c r="B305" s="7" t="s">
        <v>28</v>
      </c>
      <c r="C305" s="95" t="s">
        <v>183</v>
      </c>
      <c r="D305" s="96"/>
      <c r="E305" s="17" t="s">
        <v>166</v>
      </c>
      <c r="F305" s="8" t="s">
        <v>17</v>
      </c>
      <c r="G305" s="97">
        <v>0</v>
      </c>
      <c r="H305" s="97"/>
      <c r="I305" s="9">
        <v>0</v>
      </c>
      <c r="J305" s="9">
        <v>0</v>
      </c>
      <c r="K305" s="20"/>
      <c r="L305" s="20"/>
      <c r="M305" s="20"/>
      <c r="N305" s="61">
        <v>0</v>
      </c>
      <c r="O305" s="61"/>
      <c r="P305" s="61"/>
      <c r="Q305" s="61"/>
      <c r="R305" s="61"/>
      <c r="S305" s="61"/>
      <c r="T305" s="61"/>
      <c r="U305" s="61">
        <v>0</v>
      </c>
      <c r="V305" s="26"/>
    </row>
    <row r="306" spans="1:22" ht="105">
      <c r="A306" s="6" t="s">
        <v>185</v>
      </c>
      <c r="B306" s="7" t="s">
        <v>28</v>
      </c>
      <c r="C306" s="95" t="s">
        <v>186</v>
      </c>
      <c r="D306" s="96"/>
      <c r="E306" s="17" t="s">
        <v>166</v>
      </c>
      <c r="F306" s="8" t="s">
        <v>17</v>
      </c>
      <c r="G306" s="97">
        <v>0</v>
      </c>
      <c r="H306" s="97"/>
      <c r="I306" s="9">
        <v>0</v>
      </c>
      <c r="J306" s="9">
        <v>0</v>
      </c>
      <c r="K306" s="20"/>
      <c r="L306" s="20"/>
      <c r="M306" s="20"/>
      <c r="N306" s="61">
        <v>0</v>
      </c>
      <c r="O306" s="61"/>
      <c r="P306" s="61"/>
      <c r="Q306" s="61"/>
      <c r="R306" s="61"/>
      <c r="S306" s="61"/>
      <c r="T306" s="61"/>
      <c r="U306" s="61">
        <v>0</v>
      </c>
      <c r="V306" s="26"/>
    </row>
    <row r="307" spans="1:22">
      <c r="A307" s="10" t="s">
        <v>187</v>
      </c>
      <c r="B307" s="10"/>
      <c r="C307" s="11"/>
      <c r="D307" s="11"/>
      <c r="E307" s="11"/>
      <c r="F307" s="12"/>
      <c r="G307" s="97">
        <f>G294</f>
        <v>12023720.640000001</v>
      </c>
      <c r="H307" s="97"/>
      <c r="I307" s="9">
        <v>0</v>
      </c>
      <c r="J307" s="9">
        <v>0</v>
      </c>
      <c r="K307" s="20"/>
      <c r="L307" s="20"/>
      <c r="M307" s="20"/>
      <c r="N307" s="52">
        <v>0</v>
      </c>
      <c r="O307" s="52"/>
      <c r="P307" s="52"/>
      <c r="Q307" s="52"/>
      <c r="R307" s="52"/>
      <c r="S307" s="52"/>
      <c r="T307" s="52"/>
      <c r="U307" s="52">
        <v>0</v>
      </c>
      <c r="V307" s="26"/>
    </row>
  </sheetData>
  <mergeCells count="57">
    <mergeCell ref="S298:T298"/>
    <mergeCell ref="H291:U291"/>
    <mergeCell ref="N292:N293"/>
    <mergeCell ref="U292:U293"/>
    <mergeCell ref="I292:I293"/>
    <mergeCell ref="J292:J293"/>
    <mergeCell ref="I298:J298"/>
    <mergeCell ref="K298:L298"/>
    <mergeCell ref="M298:N298"/>
    <mergeCell ref="O298:P298"/>
    <mergeCell ref="Q298:R298"/>
    <mergeCell ref="C294:D294"/>
    <mergeCell ref="G294:H294"/>
    <mergeCell ref="A287:I287"/>
    <mergeCell ref="A289:V289"/>
    <mergeCell ref="A291:A293"/>
    <mergeCell ref="B291:F291"/>
    <mergeCell ref="B292:B293"/>
    <mergeCell ref="C292:F293"/>
    <mergeCell ref="G292:H293"/>
    <mergeCell ref="C304:D304"/>
    <mergeCell ref="G304:H304"/>
    <mergeCell ref="C298:D298"/>
    <mergeCell ref="G298:H298"/>
    <mergeCell ref="C299:D299"/>
    <mergeCell ref="C295:D295"/>
    <mergeCell ref="G295:H295"/>
    <mergeCell ref="C296:D296"/>
    <mergeCell ref="G296:H296"/>
    <mergeCell ref="C297:D297"/>
    <mergeCell ref="G303:H303"/>
    <mergeCell ref="C303:D303"/>
    <mergeCell ref="G307:H307"/>
    <mergeCell ref="G305:H305"/>
    <mergeCell ref="C305:D305"/>
    <mergeCell ref="G299:H299"/>
    <mergeCell ref="C300:D300"/>
    <mergeCell ref="G300:H300"/>
    <mergeCell ref="C306:D306"/>
    <mergeCell ref="G306:H306"/>
    <mergeCell ref="B7:F7"/>
    <mergeCell ref="H7:H8"/>
    <mergeCell ref="C301:D301"/>
    <mergeCell ref="G301:H301"/>
    <mergeCell ref="C302:D302"/>
    <mergeCell ref="G302:H302"/>
    <mergeCell ref="G297:H297"/>
    <mergeCell ref="A1:V1"/>
    <mergeCell ref="A2:V2"/>
    <mergeCell ref="A3:V3"/>
    <mergeCell ref="A6:V6"/>
    <mergeCell ref="A290:J290"/>
    <mergeCell ref="N7:N8"/>
    <mergeCell ref="U7:U8"/>
    <mergeCell ref="A4:V4"/>
    <mergeCell ref="V7:V8"/>
    <mergeCell ref="A7:A8"/>
  </mergeCells>
  <phoneticPr fontId="5" type="noConversion"/>
  <pageMargins left="0.59055118110236227" right="0.59055118110236227" top="0.39370078740157483" bottom="0.39370078740157483" header="0" footer="0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83EC64E-B4B5-4DE6-BC72-61797D2D83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Н.А.</dc:creator>
  <cp:lastModifiedBy>Mariya</cp:lastModifiedBy>
  <cp:lastPrinted>2020-02-18T13:50:31Z</cp:lastPrinted>
  <dcterms:created xsi:type="dcterms:W3CDTF">2019-12-31T09:15:28Z</dcterms:created>
  <dcterms:modified xsi:type="dcterms:W3CDTF">2022-12-17T11:16:43Z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Вариант_01.07.2009_15_54_02(3).xlsx</vt:lpwstr>
  </property>
  <property fmtid="{D5CDD505-2E9C-101B-9397-08002B2CF9AE}" pid="3" name="Название отчета">
    <vt:lpwstr>Вариант_01.07.2009_15_54_02(3).xlsx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19.2.2804.5019456</vt:lpwstr>
  </property>
  <property fmtid="{D5CDD505-2E9C-101B-9397-08002B2CF9AE}" pid="6" name="Тип сервера">
    <vt:lpwstr>MSSQL</vt:lpwstr>
  </property>
  <property fmtid="{D5CDD505-2E9C-101B-9397-08002B2CF9AE}" pid="7" name="Сервер">
    <vt:lpwstr>srv-1</vt:lpwstr>
  </property>
  <property fmtid="{D5CDD505-2E9C-101B-9397-08002B2CF9AE}" pid="8" name="База">
    <vt:lpwstr>budget_20</vt:lpwstr>
  </property>
  <property fmtid="{D5CDD505-2E9C-101B-9397-08002B2CF9AE}" pid="9" name="Пользователь">
    <vt:lpwstr>user01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